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74873CC8-F333-418B-B9E3-EE3F1F8F6B77}" xr6:coauthVersionLast="47" xr6:coauthVersionMax="47" xr10:uidLastSave="{00000000-0000-0000-0000-000000000000}"/>
  <bookViews>
    <workbookView xWindow="-103" yWindow="-103" windowWidth="22149" windowHeight="13320" tabRatio="835" firstSheet="8" activeTab="12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5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northerneurope" sheetId="36" r:id="rId13"/>
    <sheet name="roster_easterneurope" sheetId="30" r:id="rId14"/>
    <sheet name="roster_southerneurope" sheetId="31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2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85" i="1" l="1"/>
  <c r="AG985" i="1" a="1"/>
  <c r="AH985" i="1" a="1"/>
  <c r="AI985" i="1" a="1"/>
  <c r="AJ985" i="1"/>
  <c r="X985" i="17"/>
  <c r="S985" i="17"/>
  <c r="P985" i="17"/>
  <c r="I985" i="17"/>
  <c r="D985" i="17" a="1"/>
  <c r="F985" i="17"/>
  <c r="G985" i="17" a="1"/>
  <c r="L985" i="17" a="1"/>
  <c r="M985" i="17" s="1"/>
  <c r="O985" i="17"/>
  <c r="T985" i="17"/>
  <c r="V985" i="17" s="1"/>
  <c r="W985" i="17" a="1"/>
  <c r="N985" i="17" s="1" a="1"/>
  <c r="B985" i="14"/>
  <c r="D985" i="14" a="1"/>
  <c r="I985" i="14"/>
  <c r="H985" i="14" s="1"/>
  <c r="J985" i="14"/>
  <c r="K985" i="14"/>
  <c r="L985" i="14"/>
  <c r="N985" i="14"/>
  <c r="O985" i="14"/>
  <c r="P985" i="14"/>
  <c r="Q985" i="14"/>
  <c r="AF984" i="1"/>
  <c r="AG984" i="1" a="1"/>
  <c r="AH984" i="1" a="1"/>
  <c r="AI984" i="1" a="1"/>
  <c r="AJ984" i="1"/>
  <c r="O984" i="17"/>
  <c r="L984" i="17" a="1"/>
  <c r="M984" i="17" s="1"/>
  <c r="D984" i="17" a="1"/>
  <c r="F984" i="17"/>
  <c r="G984" i="17" a="1"/>
  <c r="T984" i="17"/>
  <c r="V984" i="17"/>
  <c r="W984" i="17" a="1"/>
  <c r="N984" i="17" s="1" a="1"/>
  <c r="B984" i="14"/>
  <c r="D984" i="14" a="1"/>
  <c r="I984" i="14"/>
  <c r="J984" i="14"/>
  <c r="K984" i="14"/>
  <c r="L984" i="14"/>
  <c r="N984" i="14"/>
  <c r="O984" i="14"/>
  <c r="P984" i="14"/>
  <c r="Q984" i="14"/>
  <c r="AF983" i="1"/>
  <c r="AG983" i="1" a="1"/>
  <c r="AH983" i="1" a="1"/>
  <c r="AI983" i="1" a="1"/>
  <c r="AJ983" i="1"/>
  <c r="Q983" i="17"/>
  <c r="O983" i="17"/>
  <c r="D983" i="17" a="1"/>
  <c r="F983" i="17"/>
  <c r="G983" i="17" a="1"/>
  <c r="L983" i="17" a="1"/>
  <c r="M983" i="17" s="1"/>
  <c r="T983" i="17"/>
  <c r="V983" i="17" s="1"/>
  <c r="W983" i="17" a="1"/>
  <c r="N983" i="17" s="1" a="1"/>
  <c r="B983" i="14"/>
  <c r="D983" i="14" a="1"/>
  <c r="I983" i="14"/>
  <c r="J983" i="14"/>
  <c r="K983" i="14"/>
  <c r="L983" i="14"/>
  <c r="N983" i="14"/>
  <c r="O983" i="14"/>
  <c r="P983" i="14"/>
  <c r="Q983" i="14"/>
  <c r="Q977" i="17"/>
  <c r="Q981" i="17"/>
  <c r="Q982" i="17"/>
  <c r="AF982" i="1"/>
  <c r="AG982" i="1" a="1"/>
  <c r="AJ982" i="1" s="1"/>
  <c r="AH982" i="1" a="1"/>
  <c r="AI982" i="1" a="1"/>
  <c r="D982" i="17" a="1"/>
  <c r="C982" i="19" s="1"/>
  <c r="F982" i="17"/>
  <c r="G982" i="17" a="1"/>
  <c r="L982" i="17" a="1"/>
  <c r="M982" i="17" s="1"/>
  <c r="O982" i="17"/>
  <c r="T982" i="17"/>
  <c r="V982" i="17" s="1"/>
  <c r="W982" i="17" a="1"/>
  <c r="N982" i="17" s="1" a="1"/>
  <c r="B982" i="14"/>
  <c r="D982" i="14" a="1"/>
  <c r="I982" i="14"/>
  <c r="H982" i="14" s="1"/>
  <c r="J982" i="14"/>
  <c r="K982" i="14"/>
  <c r="L982" i="14"/>
  <c r="N982" i="14"/>
  <c r="O982" i="14"/>
  <c r="P982" i="14"/>
  <c r="Q982" i="14"/>
  <c r="AF981" i="1"/>
  <c r="AG981" i="1" a="1"/>
  <c r="AJ981" i="1" s="1"/>
  <c r="AH981" i="1" a="1"/>
  <c r="AI981" i="1" a="1"/>
  <c r="W981" i="17" a="1"/>
  <c r="N981" i="17" s="1" a="1"/>
  <c r="T981" i="17"/>
  <c r="V981" i="17" s="1"/>
  <c r="O981" i="17"/>
  <c r="L981" i="17" a="1"/>
  <c r="M981" i="17" s="1"/>
  <c r="G981" i="17" a="1"/>
  <c r="F981" i="17"/>
  <c r="D981" i="17" a="1"/>
  <c r="C981" i="19" s="1"/>
  <c r="B981" i="14"/>
  <c r="D981" i="14" a="1"/>
  <c r="I981" i="14"/>
  <c r="H981" i="14" s="1"/>
  <c r="J981" i="14"/>
  <c r="K981" i="14"/>
  <c r="L981" i="14"/>
  <c r="N981" i="14"/>
  <c r="O981" i="14"/>
  <c r="P981" i="14"/>
  <c r="Q981" i="14"/>
  <c r="AF980" i="1"/>
  <c r="AG980" i="1" a="1"/>
  <c r="AJ980" i="1" s="1"/>
  <c r="AH980" i="1" a="1"/>
  <c r="AI980" i="1" a="1"/>
  <c r="Q980" i="17"/>
  <c r="W980" i="17" a="1"/>
  <c r="N980" i="17" s="1" a="1"/>
  <c r="T980" i="17"/>
  <c r="V980" i="17" s="1"/>
  <c r="O980" i="17"/>
  <c r="L980" i="17" a="1"/>
  <c r="M980" i="17" s="1"/>
  <c r="D980" i="17" a="1"/>
  <c r="C980" i="19" s="1"/>
  <c r="F980" i="17"/>
  <c r="G980" i="17" a="1"/>
  <c r="B980" i="14"/>
  <c r="D980" i="14" a="1"/>
  <c r="I980" i="14"/>
  <c r="H980" i="14" s="1"/>
  <c r="J980" i="14"/>
  <c r="K980" i="14"/>
  <c r="L980" i="14"/>
  <c r="N980" i="14"/>
  <c r="O980" i="14"/>
  <c r="P980" i="14"/>
  <c r="Q980" i="14"/>
  <c r="AF979" i="1"/>
  <c r="AG979" i="1" a="1"/>
  <c r="AH979" i="1" a="1"/>
  <c r="AI979" i="1" a="1"/>
  <c r="AJ979" i="1"/>
  <c r="D979" i="17" a="1"/>
  <c r="C979" i="19" s="1"/>
  <c r="F979" i="17"/>
  <c r="G979" i="17" a="1"/>
  <c r="L979" i="17" a="1"/>
  <c r="M979" i="17" s="1"/>
  <c r="O979" i="17"/>
  <c r="T979" i="17"/>
  <c r="V979" i="17" s="1"/>
  <c r="W979" i="17" a="1"/>
  <c r="N979" i="17" s="1" a="1"/>
  <c r="B979" i="14"/>
  <c r="D979" i="14" a="1"/>
  <c r="I979" i="14"/>
  <c r="G979" i="19" s="1"/>
  <c r="J979" i="14"/>
  <c r="K979" i="14"/>
  <c r="L979" i="14"/>
  <c r="N979" i="14"/>
  <c r="O979" i="14"/>
  <c r="P979" i="14"/>
  <c r="Q979" i="14"/>
  <c r="AF978" i="1"/>
  <c r="AG978" i="1" a="1"/>
  <c r="AJ978" i="1" s="1"/>
  <c r="AH978" i="1" a="1"/>
  <c r="AI978" i="1" a="1"/>
  <c r="Q978" i="17"/>
  <c r="W978" i="17" a="1"/>
  <c r="N978" i="17" s="1" a="1"/>
  <c r="T978" i="17"/>
  <c r="V978" i="17" s="1"/>
  <c r="O978" i="17"/>
  <c r="L978" i="17" a="1"/>
  <c r="M978" i="17" s="1"/>
  <c r="G978" i="17" a="1"/>
  <c r="F978" i="17"/>
  <c r="D978" i="17" a="1"/>
  <c r="C978" i="19" s="1"/>
  <c r="B978" i="14"/>
  <c r="D978" i="14" a="1"/>
  <c r="I978" i="14"/>
  <c r="J978" i="14"/>
  <c r="K978" i="14"/>
  <c r="L978" i="14"/>
  <c r="N978" i="14"/>
  <c r="O978" i="14"/>
  <c r="P978" i="14"/>
  <c r="Q978" i="14"/>
  <c r="AF977" i="1"/>
  <c r="AG977" i="1" a="1"/>
  <c r="AJ977" i="1" s="1"/>
  <c r="AH977" i="1" a="1"/>
  <c r="AI977" i="1" a="1"/>
  <c r="W977" i="17" a="1"/>
  <c r="N977" i="17" s="1" a="1"/>
  <c r="T977" i="17"/>
  <c r="V977" i="17" s="1"/>
  <c r="O977" i="17"/>
  <c r="L977" i="17" a="1"/>
  <c r="M977" i="17" s="1"/>
  <c r="G977" i="17" a="1"/>
  <c r="G977" i="19" s="1"/>
  <c r="F977" i="17"/>
  <c r="D977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L2" i="17" a="1"/>
  <c r="M2" i="17" s="1"/>
  <c r="L3" i="17" a="1"/>
  <c r="M3" i="17" s="1"/>
  <c r="L4" i="17" a="1"/>
  <c r="M4" i="17" s="1"/>
  <c r="L5" i="17" a="1"/>
  <c r="M5" i="17" s="1"/>
  <c r="L6" i="17" a="1"/>
  <c r="M6" i="17" s="1"/>
  <c r="L7" i="17" a="1"/>
  <c r="M7" i="17" s="1"/>
  <c r="L8" i="17" a="1"/>
  <c r="M8" i="17" s="1"/>
  <c r="L9" i="17" a="1"/>
  <c r="M9" i="17" s="1"/>
  <c r="L10" i="17" a="1"/>
  <c r="M10" i="17" s="1"/>
  <c r="L11" i="17" a="1"/>
  <c r="M11" i="17" s="1"/>
  <c r="L12" i="17" a="1"/>
  <c r="M12" i="17" s="1"/>
  <c r="L13" i="17" a="1"/>
  <c r="M13" i="17" s="1"/>
  <c r="L14" i="17" a="1"/>
  <c r="M14" i="17" s="1"/>
  <c r="L15" i="17" a="1"/>
  <c r="M15" i="17" s="1"/>
  <c r="L16" i="17" a="1"/>
  <c r="M16" i="17" s="1"/>
  <c r="L17" i="17" a="1"/>
  <c r="M17" i="17" s="1"/>
  <c r="L18" i="17" a="1"/>
  <c r="M18" i="17" s="1"/>
  <c r="L19" i="17" a="1"/>
  <c r="M19" i="17" s="1"/>
  <c r="L20" i="17" a="1"/>
  <c r="M20" i="17" s="1"/>
  <c r="L21" i="17" a="1"/>
  <c r="M21" i="17" s="1"/>
  <c r="L22" i="17" a="1"/>
  <c r="M22" i="17" s="1"/>
  <c r="L23" i="17" a="1"/>
  <c r="M23" i="17" s="1"/>
  <c r="L24" i="17" a="1"/>
  <c r="M24" i="17" s="1"/>
  <c r="L25" i="17" a="1"/>
  <c r="M25" i="17" s="1"/>
  <c r="L26" i="17" a="1"/>
  <c r="M26" i="17" s="1"/>
  <c r="L27" i="17" a="1"/>
  <c r="M27" i="17" s="1"/>
  <c r="L28" i="17" a="1"/>
  <c r="M28" i="17" s="1"/>
  <c r="L29" i="17" a="1"/>
  <c r="M29" i="17" s="1"/>
  <c r="L30" i="17" a="1"/>
  <c r="M30" i="17" s="1"/>
  <c r="L31" i="17" a="1"/>
  <c r="M31" i="17" s="1"/>
  <c r="L32" i="17" a="1"/>
  <c r="M32" i="17" s="1"/>
  <c r="L33" i="17" a="1"/>
  <c r="M33" i="17" s="1"/>
  <c r="L34" i="17" a="1"/>
  <c r="M34" i="17" s="1"/>
  <c r="L35" i="17" a="1"/>
  <c r="M35" i="17" s="1"/>
  <c r="L36" i="17" a="1"/>
  <c r="M36" i="17" s="1"/>
  <c r="L37" i="17" a="1"/>
  <c r="M37" i="17" s="1"/>
  <c r="L38" i="17" a="1"/>
  <c r="M38" i="17" s="1"/>
  <c r="L39" i="17" a="1"/>
  <c r="M39" i="17" s="1"/>
  <c r="L40" i="17" a="1"/>
  <c r="M40" i="17" s="1"/>
  <c r="L41" i="17" a="1"/>
  <c r="M41" i="17" s="1"/>
  <c r="L42" i="17" a="1"/>
  <c r="M42" i="17" s="1"/>
  <c r="L43" i="17" a="1"/>
  <c r="M43" i="17" s="1"/>
  <c r="L44" i="17" a="1"/>
  <c r="M44" i="17" s="1"/>
  <c r="L45" i="17" a="1"/>
  <c r="M45" i="17" s="1"/>
  <c r="L46" i="17" a="1"/>
  <c r="M46" i="17" s="1"/>
  <c r="L47" i="17" a="1"/>
  <c r="M47" i="17" s="1"/>
  <c r="L48" i="17" a="1"/>
  <c r="M48" i="17" s="1"/>
  <c r="L49" i="17" a="1"/>
  <c r="M49" i="17" s="1"/>
  <c r="L50" i="17" a="1"/>
  <c r="M50" i="17" s="1"/>
  <c r="L51" i="17" a="1"/>
  <c r="M51" i="17" s="1"/>
  <c r="L52" i="17" a="1"/>
  <c r="M52" i="17" s="1"/>
  <c r="L53" i="17" a="1"/>
  <c r="M53" i="17" s="1"/>
  <c r="L54" i="17" a="1"/>
  <c r="M54" i="17" s="1"/>
  <c r="L55" i="17" a="1"/>
  <c r="M55" i="17" s="1"/>
  <c r="L56" i="17" a="1"/>
  <c r="M56" i="17" s="1"/>
  <c r="L57" i="17" a="1"/>
  <c r="M57" i="17" s="1"/>
  <c r="L58" i="17" a="1"/>
  <c r="M58" i="17" s="1"/>
  <c r="L59" i="17" a="1"/>
  <c r="M59" i="17" s="1"/>
  <c r="L60" i="17" a="1"/>
  <c r="M60" i="17" s="1"/>
  <c r="L61" i="17" a="1"/>
  <c r="M61" i="17" s="1"/>
  <c r="L62" i="17" a="1"/>
  <c r="M62" i="17" s="1"/>
  <c r="L63" i="17" a="1"/>
  <c r="M63" i="17" s="1"/>
  <c r="L64" i="17" a="1"/>
  <c r="M64" i="17" s="1"/>
  <c r="L65" i="17" a="1"/>
  <c r="M65" i="17" s="1"/>
  <c r="L66" i="17" a="1"/>
  <c r="M66" i="17" s="1"/>
  <c r="L67" i="17" a="1"/>
  <c r="M67" i="17" s="1"/>
  <c r="L68" i="17" a="1"/>
  <c r="M68" i="17" s="1"/>
  <c r="L69" i="17" a="1"/>
  <c r="M69" i="17" s="1"/>
  <c r="L70" i="17" a="1"/>
  <c r="M70" i="17" s="1"/>
  <c r="L71" i="17" a="1"/>
  <c r="M71" i="17" s="1"/>
  <c r="L72" i="17" a="1"/>
  <c r="M72" i="17" s="1"/>
  <c r="L73" i="17" a="1"/>
  <c r="M73" i="17" s="1"/>
  <c r="L74" i="17" a="1"/>
  <c r="M74" i="17" s="1"/>
  <c r="L75" i="17" a="1"/>
  <c r="M75" i="17" s="1"/>
  <c r="L76" i="17" a="1"/>
  <c r="M76" i="17" s="1"/>
  <c r="L77" i="17" a="1"/>
  <c r="M77" i="17" s="1"/>
  <c r="L78" i="17" a="1"/>
  <c r="M78" i="17" s="1"/>
  <c r="L79" i="17" a="1"/>
  <c r="M79" i="17" s="1"/>
  <c r="L80" i="17" a="1"/>
  <c r="M80" i="17" s="1"/>
  <c r="L81" i="17" a="1"/>
  <c r="M81" i="17" s="1"/>
  <c r="L82" i="17" a="1"/>
  <c r="M82" i="17" s="1"/>
  <c r="L83" i="17" a="1"/>
  <c r="M83" i="17" s="1"/>
  <c r="L84" i="17" a="1"/>
  <c r="M84" i="17" s="1"/>
  <c r="L85" i="17" a="1"/>
  <c r="M85" i="17" s="1"/>
  <c r="L86" i="17" a="1"/>
  <c r="M86" i="17" s="1"/>
  <c r="L87" i="17" a="1"/>
  <c r="M87" i="17" s="1"/>
  <c r="L88" i="17" a="1"/>
  <c r="M88" i="17" s="1"/>
  <c r="L89" i="17" a="1"/>
  <c r="M89" i="17" s="1"/>
  <c r="L90" i="17" a="1"/>
  <c r="M90" i="17" s="1"/>
  <c r="L91" i="17" a="1"/>
  <c r="M91" i="17" s="1"/>
  <c r="L92" i="17" a="1"/>
  <c r="M92" i="17" s="1"/>
  <c r="L93" i="17" a="1"/>
  <c r="M93" i="17" s="1"/>
  <c r="L94" i="17" a="1"/>
  <c r="M94" i="17" s="1"/>
  <c r="L95" i="17" a="1"/>
  <c r="M95" i="17" s="1"/>
  <c r="L96" i="17" a="1"/>
  <c r="M96" i="17" s="1"/>
  <c r="L97" i="17" a="1"/>
  <c r="M97" i="17" s="1"/>
  <c r="L98" i="17" a="1"/>
  <c r="M98" i="17" s="1"/>
  <c r="L99" i="17" a="1"/>
  <c r="M99" i="17" s="1"/>
  <c r="L100" i="17" a="1"/>
  <c r="M100" i="17" s="1"/>
  <c r="L101" i="17" a="1"/>
  <c r="M101" i="17" s="1"/>
  <c r="L102" i="17" a="1"/>
  <c r="M102" i="17" s="1"/>
  <c r="L103" i="17" a="1"/>
  <c r="M103" i="17" s="1"/>
  <c r="L104" i="17" a="1"/>
  <c r="M104" i="17" s="1"/>
  <c r="L105" i="17" a="1"/>
  <c r="M105" i="17" s="1"/>
  <c r="L106" i="17" a="1"/>
  <c r="M106" i="17" s="1"/>
  <c r="L107" i="17" a="1"/>
  <c r="M107" i="17" s="1"/>
  <c r="L108" i="17" a="1"/>
  <c r="M108" i="17" s="1"/>
  <c r="L109" i="17" a="1"/>
  <c r="M109" i="17" s="1"/>
  <c r="L110" i="17" a="1"/>
  <c r="M110" i="17" s="1"/>
  <c r="L111" i="17" a="1"/>
  <c r="M111" i="17" s="1"/>
  <c r="L112" i="17" a="1"/>
  <c r="M112" i="17" s="1"/>
  <c r="L113" i="17" a="1"/>
  <c r="M113" i="17" s="1"/>
  <c r="L114" i="17" a="1"/>
  <c r="M114" i="17" s="1"/>
  <c r="L115" i="17" a="1"/>
  <c r="M115" i="17" s="1"/>
  <c r="L116" i="17" a="1"/>
  <c r="M116" i="17" s="1"/>
  <c r="L117" i="17" a="1"/>
  <c r="M117" i="17" s="1"/>
  <c r="L118" i="17" a="1"/>
  <c r="M118" i="17" s="1"/>
  <c r="L119" i="17" a="1"/>
  <c r="M119" i="17" s="1"/>
  <c r="L120" i="17" a="1"/>
  <c r="M120" i="17" s="1"/>
  <c r="L121" i="17" a="1"/>
  <c r="M121" i="17" s="1"/>
  <c r="L122" i="17" a="1"/>
  <c r="M122" i="17" s="1"/>
  <c r="L123" i="17" a="1"/>
  <c r="M123" i="17" s="1"/>
  <c r="L124" i="17" a="1"/>
  <c r="M124" i="17" s="1"/>
  <c r="L125" i="17" a="1"/>
  <c r="M125" i="17" s="1"/>
  <c r="L126" i="17" a="1"/>
  <c r="M126" i="17" s="1"/>
  <c r="L127" i="17" a="1"/>
  <c r="M127" i="17" s="1"/>
  <c r="L128" i="17" a="1"/>
  <c r="M128" i="17" s="1"/>
  <c r="L129" i="17" a="1"/>
  <c r="M129" i="17" s="1"/>
  <c r="L130" i="17" a="1"/>
  <c r="M130" i="17" s="1"/>
  <c r="L131" i="17" a="1"/>
  <c r="M131" i="17" s="1"/>
  <c r="L132" i="17" a="1"/>
  <c r="M132" i="17" s="1"/>
  <c r="L133" i="17" a="1"/>
  <c r="M133" i="17" s="1"/>
  <c r="L134" i="17" a="1"/>
  <c r="M134" i="17" s="1"/>
  <c r="L135" i="17" a="1"/>
  <c r="M135" i="17" s="1"/>
  <c r="L136" i="17" a="1"/>
  <c r="M136" i="17" s="1"/>
  <c r="L137" i="17" a="1"/>
  <c r="M137" i="17" s="1"/>
  <c r="L138" i="17" a="1"/>
  <c r="M138" i="17" s="1"/>
  <c r="L139" i="17" a="1"/>
  <c r="M139" i="17" s="1"/>
  <c r="L140" i="17" a="1"/>
  <c r="M140" i="17" s="1"/>
  <c r="L141" i="17" a="1"/>
  <c r="M141" i="17" s="1"/>
  <c r="L142" i="17" a="1"/>
  <c r="M142" i="17" s="1"/>
  <c r="L143" i="17" a="1"/>
  <c r="M143" i="17" s="1"/>
  <c r="L144" i="17" a="1"/>
  <c r="M144" i="17" s="1"/>
  <c r="L145" i="17" a="1"/>
  <c r="M145" i="17" s="1"/>
  <c r="L146" i="17" a="1"/>
  <c r="M146" i="17" s="1"/>
  <c r="L147" i="17" a="1"/>
  <c r="M147" i="17" s="1"/>
  <c r="L148" i="17" a="1"/>
  <c r="M148" i="17" s="1"/>
  <c r="L149" i="17" a="1"/>
  <c r="M149" i="17" s="1"/>
  <c r="L150" i="17" a="1"/>
  <c r="M150" i="17" s="1"/>
  <c r="L151" i="17" a="1"/>
  <c r="M151" i="17" s="1"/>
  <c r="L152" i="17" a="1"/>
  <c r="M152" i="17" s="1"/>
  <c r="L153" i="17" a="1"/>
  <c r="M153" i="17" s="1"/>
  <c r="L154" i="17" a="1"/>
  <c r="M154" i="17" s="1"/>
  <c r="L155" i="17" a="1"/>
  <c r="M155" i="17" s="1"/>
  <c r="L157" i="17" a="1"/>
  <c r="M157" i="17" s="1"/>
  <c r="L158" i="17" a="1"/>
  <c r="M158" i="17" s="1"/>
  <c r="L159" i="17" a="1"/>
  <c r="M159" i="17" s="1"/>
  <c r="L160" i="17" a="1"/>
  <c r="M160" i="17" s="1"/>
  <c r="L161" i="17" a="1"/>
  <c r="M161" i="17" s="1"/>
  <c r="L162" i="17" a="1"/>
  <c r="M162" i="17" s="1"/>
  <c r="L163" i="17" a="1"/>
  <c r="M163" i="17" s="1"/>
  <c r="L164" i="17" a="1"/>
  <c r="M164" i="17" s="1"/>
  <c r="L165" i="17" a="1"/>
  <c r="M165" i="17" s="1"/>
  <c r="L166" i="17" a="1"/>
  <c r="M166" i="17" s="1"/>
  <c r="L167" i="17" a="1"/>
  <c r="M167" i="17" s="1"/>
  <c r="L168" i="17" a="1"/>
  <c r="M168" i="17" s="1"/>
  <c r="L169" i="17" a="1"/>
  <c r="M169" i="17" s="1"/>
  <c r="L170" i="17" a="1"/>
  <c r="M170" i="17" s="1"/>
  <c r="L171" i="17" a="1"/>
  <c r="M171" i="17" s="1"/>
  <c r="L172" i="17" a="1"/>
  <c r="M172" i="17" s="1"/>
  <c r="L173" i="17" a="1"/>
  <c r="M173" i="17" s="1"/>
  <c r="L174" i="17" a="1"/>
  <c r="M174" i="17" s="1"/>
  <c r="L175" i="17" a="1"/>
  <c r="M175" i="17" s="1"/>
  <c r="L176" i="17" a="1"/>
  <c r="M176" i="17" s="1"/>
  <c r="L177" i="17" a="1"/>
  <c r="M177" i="17" s="1"/>
  <c r="L178" i="17" a="1"/>
  <c r="M178" i="17" s="1"/>
  <c r="L179" i="17" a="1"/>
  <c r="M179" i="17" s="1"/>
  <c r="L180" i="17" a="1"/>
  <c r="M180" i="17" s="1"/>
  <c r="L181" i="17" a="1"/>
  <c r="M181" i="17" s="1"/>
  <c r="L182" i="17" a="1"/>
  <c r="M182" i="17" s="1"/>
  <c r="L183" i="17" a="1"/>
  <c r="M183" i="17" s="1"/>
  <c r="L184" i="17" a="1"/>
  <c r="M184" i="17" s="1"/>
  <c r="L185" i="17" a="1"/>
  <c r="M185" i="17" s="1"/>
  <c r="L186" i="17" a="1"/>
  <c r="M186" i="17" s="1"/>
  <c r="L187" i="17" a="1"/>
  <c r="M187" i="17" s="1"/>
  <c r="L188" i="17" a="1"/>
  <c r="M188" i="17" s="1"/>
  <c r="L189" i="17" a="1"/>
  <c r="M189" i="17" s="1"/>
  <c r="L190" i="17" a="1"/>
  <c r="M190" i="17" s="1"/>
  <c r="L191" i="17" a="1"/>
  <c r="M191" i="17" s="1"/>
  <c r="L192" i="17" a="1"/>
  <c r="M192" i="17" s="1"/>
  <c r="L193" i="17" a="1"/>
  <c r="M193" i="17" s="1"/>
  <c r="L194" i="17" a="1"/>
  <c r="M194" i="17" s="1"/>
  <c r="L195" i="17" a="1"/>
  <c r="M195" i="17" s="1"/>
  <c r="L196" i="17" a="1"/>
  <c r="M196" i="17" s="1"/>
  <c r="L197" i="17" a="1"/>
  <c r="M197" i="17" s="1"/>
  <c r="L198" i="17" a="1"/>
  <c r="M198" i="17" s="1"/>
  <c r="L199" i="17" a="1"/>
  <c r="M199" i="17" s="1"/>
  <c r="L200" i="17" a="1"/>
  <c r="M200" i="17" s="1"/>
  <c r="L201" i="17" a="1"/>
  <c r="M201" i="17" s="1"/>
  <c r="L202" i="17" a="1"/>
  <c r="M202" i="17" s="1"/>
  <c r="L203" i="17" a="1"/>
  <c r="M203" i="17" s="1"/>
  <c r="L204" i="17" a="1"/>
  <c r="M204" i="17" s="1"/>
  <c r="L205" i="17" a="1"/>
  <c r="M205" i="17" s="1"/>
  <c r="L206" i="17" a="1"/>
  <c r="M206" i="17" s="1"/>
  <c r="L207" i="17" a="1"/>
  <c r="M207" i="17" s="1"/>
  <c r="L208" i="17" a="1"/>
  <c r="M208" i="17" s="1"/>
  <c r="L209" i="17" a="1"/>
  <c r="M209" i="17" s="1"/>
  <c r="L210" i="17" a="1"/>
  <c r="M210" i="17" s="1"/>
  <c r="L211" i="17" a="1"/>
  <c r="M211" i="17" s="1"/>
  <c r="L212" i="17" a="1"/>
  <c r="M212" i="17" s="1"/>
  <c r="L213" i="17" a="1"/>
  <c r="M213" i="17" s="1"/>
  <c r="L214" i="17" a="1"/>
  <c r="M214" i="17" s="1"/>
  <c r="L215" i="17" a="1"/>
  <c r="M215" i="17" s="1"/>
  <c r="L216" i="17" a="1"/>
  <c r="M216" i="17" s="1"/>
  <c r="L217" i="17" a="1"/>
  <c r="M217" i="17" s="1"/>
  <c r="L218" i="17" a="1"/>
  <c r="M218" i="17" s="1"/>
  <c r="L219" i="17" a="1"/>
  <c r="M219" i="17" s="1"/>
  <c r="L220" i="17" a="1"/>
  <c r="M220" i="17" s="1"/>
  <c r="L221" i="17" a="1"/>
  <c r="M221" i="17" s="1"/>
  <c r="L222" i="17" a="1"/>
  <c r="M222" i="17" s="1"/>
  <c r="L223" i="17" a="1"/>
  <c r="M223" i="17" s="1"/>
  <c r="L224" i="17" a="1"/>
  <c r="M224" i="17" s="1"/>
  <c r="L225" i="17" a="1"/>
  <c r="M225" i="17" s="1"/>
  <c r="L226" i="17" a="1"/>
  <c r="M226" i="17" s="1"/>
  <c r="L227" i="17" a="1"/>
  <c r="M227" i="17" s="1"/>
  <c r="L228" i="17" a="1"/>
  <c r="M228" i="17" s="1"/>
  <c r="L229" i="17" a="1"/>
  <c r="M229" i="17" s="1"/>
  <c r="L230" i="17" a="1"/>
  <c r="M230" i="17" s="1"/>
  <c r="L231" i="17" a="1"/>
  <c r="M231" i="17" s="1"/>
  <c r="L232" i="17" a="1"/>
  <c r="M232" i="17" s="1"/>
  <c r="L233" i="17" a="1"/>
  <c r="M233" i="17" s="1"/>
  <c r="L234" i="17" a="1"/>
  <c r="M234" i="17" s="1"/>
  <c r="L235" i="17" a="1"/>
  <c r="M235" i="17" s="1"/>
  <c r="L236" i="17" a="1"/>
  <c r="M236" i="17" s="1"/>
  <c r="L237" i="17" a="1"/>
  <c r="M237" i="17" s="1"/>
  <c r="L238" i="17" a="1"/>
  <c r="M238" i="17" s="1"/>
  <c r="L239" i="17" a="1"/>
  <c r="M239" i="17" s="1"/>
  <c r="L240" i="17" a="1"/>
  <c r="M240" i="17" s="1"/>
  <c r="L241" i="17" a="1"/>
  <c r="M241" i="17" s="1"/>
  <c r="L242" i="17" a="1"/>
  <c r="M242" i="17" s="1"/>
  <c r="L243" i="17" a="1"/>
  <c r="M243" i="17" s="1"/>
  <c r="L244" i="17" a="1"/>
  <c r="M244" i="17" s="1"/>
  <c r="L245" i="17" a="1"/>
  <c r="M245" i="17" s="1"/>
  <c r="L246" i="17" a="1"/>
  <c r="M246" i="17" s="1"/>
  <c r="L247" i="17" a="1"/>
  <c r="M247" i="17" s="1"/>
  <c r="L248" i="17" a="1"/>
  <c r="M248" i="17" s="1"/>
  <c r="L249" i="17" a="1"/>
  <c r="M249" i="17" s="1"/>
  <c r="L250" i="17" a="1"/>
  <c r="M250" i="17" s="1"/>
  <c r="L251" i="17" a="1"/>
  <c r="M251" i="17" s="1"/>
  <c r="L252" i="17" a="1"/>
  <c r="M252" i="17" s="1"/>
  <c r="L253" i="17" a="1"/>
  <c r="M253" i="17" s="1"/>
  <c r="L254" i="17" a="1"/>
  <c r="M254" i="17" s="1"/>
  <c r="L255" i="17" a="1"/>
  <c r="M255" i="17" s="1"/>
  <c r="L256" i="17" a="1"/>
  <c r="M256" i="17" s="1"/>
  <c r="L257" i="17" a="1"/>
  <c r="M257" i="17" s="1"/>
  <c r="L258" i="17" a="1"/>
  <c r="M258" i="17" s="1"/>
  <c r="L259" i="17" a="1"/>
  <c r="M259" i="17" s="1"/>
  <c r="L260" i="17" a="1"/>
  <c r="M260" i="17" s="1"/>
  <c r="L261" i="17" a="1"/>
  <c r="M261" i="17" s="1"/>
  <c r="L262" i="17" a="1"/>
  <c r="M262" i="17" s="1"/>
  <c r="L263" i="17" a="1"/>
  <c r="M263" i="17" s="1"/>
  <c r="L264" i="17" a="1"/>
  <c r="M264" i="17" s="1"/>
  <c r="L265" i="17" a="1"/>
  <c r="M265" i="17" s="1"/>
  <c r="L266" i="17" a="1"/>
  <c r="M266" i="17" s="1"/>
  <c r="L267" i="17" a="1"/>
  <c r="M267" i="17" s="1"/>
  <c r="L268" i="17" a="1"/>
  <c r="M268" i="17" s="1"/>
  <c r="L269" i="17" a="1"/>
  <c r="M269" i="17" s="1"/>
  <c r="L270" i="17" a="1"/>
  <c r="M270" i="17" s="1"/>
  <c r="L271" i="17" a="1"/>
  <c r="M271" i="17" s="1"/>
  <c r="L272" i="17" a="1"/>
  <c r="M272" i="17" s="1"/>
  <c r="L273" i="17" a="1"/>
  <c r="M273" i="17" s="1"/>
  <c r="L274" i="17" a="1"/>
  <c r="M274" i="17" s="1"/>
  <c r="L275" i="17" a="1"/>
  <c r="M275" i="17" s="1"/>
  <c r="L276" i="17" a="1"/>
  <c r="M276" i="17" s="1"/>
  <c r="L277" i="17" a="1"/>
  <c r="M277" i="17" s="1"/>
  <c r="L278" i="17" a="1"/>
  <c r="M278" i="17" s="1"/>
  <c r="L279" i="17" a="1"/>
  <c r="M279" i="17" s="1"/>
  <c r="L280" i="17" a="1"/>
  <c r="M280" i="17" s="1"/>
  <c r="L281" i="17" a="1"/>
  <c r="M281" i="17" s="1"/>
  <c r="L282" i="17" a="1"/>
  <c r="M282" i="17" s="1"/>
  <c r="L283" i="17" a="1"/>
  <c r="M283" i="17" s="1"/>
  <c r="L284" i="17" a="1"/>
  <c r="M284" i="17" s="1"/>
  <c r="L285" i="17" a="1"/>
  <c r="M285" i="17" s="1"/>
  <c r="L286" i="17" a="1"/>
  <c r="M286" i="17" s="1"/>
  <c r="L287" i="17" a="1"/>
  <c r="M287" i="17" s="1"/>
  <c r="L288" i="17" a="1"/>
  <c r="M288" i="17" s="1"/>
  <c r="L289" i="17" a="1"/>
  <c r="M289" i="17" s="1"/>
  <c r="L290" i="17" a="1"/>
  <c r="M290" i="17" s="1"/>
  <c r="L291" i="17" a="1"/>
  <c r="M291" i="17" s="1"/>
  <c r="L292" i="17" a="1"/>
  <c r="M292" i="17" s="1"/>
  <c r="L293" i="17" a="1"/>
  <c r="M293" i="17" s="1"/>
  <c r="L294" i="17" a="1"/>
  <c r="M294" i="17" s="1"/>
  <c r="L295" i="17" a="1"/>
  <c r="M295" i="17" s="1"/>
  <c r="L296" i="17" a="1"/>
  <c r="M296" i="17" s="1"/>
  <c r="L297" i="17" a="1"/>
  <c r="M297" i="17" s="1"/>
  <c r="L298" i="17" a="1"/>
  <c r="M298" i="17" s="1"/>
  <c r="L299" i="17" a="1"/>
  <c r="M299" i="17" s="1"/>
  <c r="L300" i="17" a="1"/>
  <c r="M300" i="17" s="1"/>
  <c r="L301" i="17" a="1"/>
  <c r="M301" i="17" s="1"/>
  <c r="L302" i="17" a="1"/>
  <c r="M302" i="17" s="1"/>
  <c r="L303" i="17" a="1"/>
  <c r="M303" i="17" s="1"/>
  <c r="L304" i="17" a="1"/>
  <c r="M304" i="17" s="1"/>
  <c r="L305" i="17" a="1"/>
  <c r="M305" i="17" s="1"/>
  <c r="L306" i="17" a="1"/>
  <c r="M306" i="17" s="1"/>
  <c r="L307" i="17" a="1"/>
  <c r="M307" i="17" s="1"/>
  <c r="L308" i="17" a="1"/>
  <c r="M308" i="17" s="1"/>
  <c r="L309" i="17" a="1"/>
  <c r="M309" i="17" s="1"/>
  <c r="L310" i="17" a="1"/>
  <c r="M310" i="17" s="1"/>
  <c r="L311" i="17" a="1"/>
  <c r="M311" i="17" s="1"/>
  <c r="L312" i="17" a="1"/>
  <c r="M312" i="17" s="1"/>
  <c r="L313" i="17" a="1"/>
  <c r="M313" i="17" s="1"/>
  <c r="L314" i="17" a="1"/>
  <c r="M314" i="17" s="1"/>
  <c r="L315" i="17" a="1"/>
  <c r="M315" i="17" s="1"/>
  <c r="L316" i="17" a="1"/>
  <c r="M316" i="17" s="1"/>
  <c r="L317" i="17" a="1"/>
  <c r="M317" i="17" s="1"/>
  <c r="L318" i="17" a="1"/>
  <c r="M318" i="17" s="1"/>
  <c r="L319" i="17" a="1"/>
  <c r="M319" i="17" s="1"/>
  <c r="L320" i="17" a="1"/>
  <c r="M320" i="17" s="1"/>
  <c r="L321" i="17" a="1"/>
  <c r="M321" i="17" s="1"/>
  <c r="L322" i="17" a="1"/>
  <c r="M322" i="17" s="1"/>
  <c r="L323" i="17" a="1"/>
  <c r="M323" i="17" s="1"/>
  <c r="L324" i="17" a="1"/>
  <c r="M324" i="17" s="1"/>
  <c r="L325" i="17" a="1"/>
  <c r="M325" i="17" s="1"/>
  <c r="L326" i="17" a="1"/>
  <c r="M326" i="17" s="1"/>
  <c r="L327" i="17" a="1"/>
  <c r="M327" i="17" s="1"/>
  <c r="L328" i="17" a="1"/>
  <c r="M328" i="17" s="1"/>
  <c r="L329" i="17" a="1"/>
  <c r="M329" i="17" s="1"/>
  <c r="L330" i="17" a="1"/>
  <c r="M330" i="17" s="1"/>
  <c r="L331" i="17" a="1"/>
  <c r="M331" i="17" s="1"/>
  <c r="L332" i="17" a="1"/>
  <c r="M332" i="17" s="1"/>
  <c r="L333" i="17" a="1"/>
  <c r="M333" i="17" s="1"/>
  <c r="L334" i="17" a="1"/>
  <c r="M334" i="17" s="1"/>
  <c r="L335" i="17" a="1"/>
  <c r="M335" i="17" s="1"/>
  <c r="L336" i="17" a="1"/>
  <c r="M336" i="17" s="1"/>
  <c r="L337" i="17" a="1"/>
  <c r="M337" i="17" s="1"/>
  <c r="L338" i="17" a="1"/>
  <c r="M338" i="17" s="1"/>
  <c r="L339" i="17" a="1"/>
  <c r="M339" i="17" s="1"/>
  <c r="L340" i="17" a="1"/>
  <c r="M340" i="17" s="1"/>
  <c r="L341" i="17" a="1"/>
  <c r="M341" i="17" s="1"/>
  <c r="L342" i="17" a="1"/>
  <c r="M342" i="17" s="1"/>
  <c r="L343" i="17" a="1"/>
  <c r="M343" i="17" s="1"/>
  <c r="L344" i="17" a="1"/>
  <c r="M344" i="17" s="1"/>
  <c r="L345" i="17" a="1"/>
  <c r="M345" i="17" s="1"/>
  <c r="L346" i="17" a="1"/>
  <c r="M346" i="17" s="1"/>
  <c r="L347" i="17" a="1"/>
  <c r="M347" i="17" s="1"/>
  <c r="L348" i="17" a="1"/>
  <c r="M348" i="17" s="1"/>
  <c r="L349" i="17" a="1"/>
  <c r="M349" i="17" s="1"/>
  <c r="L350" i="17" a="1"/>
  <c r="M350" i="17" s="1"/>
  <c r="L351" i="17" a="1"/>
  <c r="M351" i="17" s="1"/>
  <c r="L352" i="17" a="1"/>
  <c r="M352" i="17" s="1"/>
  <c r="L353" i="17" a="1"/>
  <c r="M353" i="17" s="1"/>
  <c r="L354" i="17" a="1"/>
  <c r="M354" i="17" s="1"/>
  <c r="L355" i="17" a="1"/>
  <c r="M355" i="17" s="1"/>
  <c r="L356" i="17" a="1"/>
  <c r="M356" i="17" s="1"/>
  <c r="L357" i="17" a="1"/>
  <c r="M357" i="17" s="1"/>
  <c r="L358" i="17" a="1"/>
  <c r="M358" i="17" s="1"/>
  <c r="L359" i="17" a="1"/>
  <c r="M359" i="17" s="1"/>
  <c r="L360" i="17" a="1"/>
  <c r="M360" i="17" s="1"/>
  <c r="L361" i="17" a="1"/>
  <c r="M361" i="17" s="1"/>
  <c r="L362" i="17" a="1"/>
  <c r="M362" i="17" s="1"/>
  <c r="L363" i="17" a="1"/>
  <c r="M363" i="17" s="1"/>
  <c r="L364" i="17" a="1"/>
  <c r="M364" i="17" s="1"/>
  <c r="L365" i="17" a="1"/>
  <c r="M365" i="17" s="1"/>
  <c r="L366" i="17" a="1"/>
  <c r="M366" i="17" s="1"/>
  <c r="L367" i="17" a="1"/>
  <c r="M367" i="17" s="1"/>
  <c r="L368" i="17" a="1"/>
  <c r="M368" i="17" s="1"/>
  <c r="L369" i="17" a="1"/>
  <c r="M369" i="17" s="1"/>
  <c r="L370" i="17" a="1"/>
  <c r="M370" i="17" s="1"/>
  <c r="L371" i="17" a="1"/>
  <c r="M371" i="17" s="1"/>
  <c r="L372" i="17" a="1"/>
  <c r="M372" i="17" s="1"/>
  <c r="L373" i="17" a="1"/>
  <c r="M373" i="17" s="1"/>
  <c r="L374" i="17" a="1"/>
  <c r="M374" i="17" s="1"/>
  <c r="L375" i="17" a="1"/>
  <c r="M375" i="17" s="1"/>
  <c r="L376" i="17" a="1"/>
  <c r="M376" i="17" s="1"/>
  <c r="L377" i="17" a="1"/>
  <c r="M377" i="17" s="1"/>
  <c r="L378" i="17" a="1"/>
  <c r="M378" i="17" s="1"/>
  <c r="L379" i="17" a="1"/>
  <c r="M379" i="17" s="1"/>
  <c r="L380" i="17" a="1"/>
  <c r="M380" i="17" s="1"/>
  <c r="L381" i="17" a="1"/>
  <c r="M381" i="17" s="1"/>
  <c r="L382" i="17" a="1"/>
  <c r="M382" i="17" s="1"/>
  <c r="L383" i="17" a="1"/>
  <c r="M383" i="17" s="1"/>
  <c r="L384" i="17" a="1"/>
  <c r="M384" i="17" s="1"/>
  <c r="L385" i="17" a="1"/>
  <c r="M385" i="17" s="1"/>
  <c r="L386" i="17" a="1"/>
  <c r="M386" i="17" s="1"/>
  <c r="L387" i="17" a="1"/>
  <c r="M387" i="17" s="1"/>
  <c r="L388" i="17" a="1"/>
  <c r="M388" i="17" s="1"/>
  <c r="L389" i="17" a="1"/>
  <c r="M389" i="17" s="1"/>
  <c r="L390" i="17" a="1"/>
  <c r="M390" i="17" s="1"/>
  <c r="L391" i="17" a="1"/>
  <c r="M391" i="17" s="1"/>
  <c r="L392" i="17" a="1"/>
  <c r="M392" i="17" s="1"/>
  <c r="L393" i="17" a="1"/>
  <c r="M393" i="17" s="1"/>
  <c r="L394" i="17" a="1"/>
  <c r="M394" i="17" s="1"/>
  <c r="L395" i="17" a="1"/>
  <c r="M395" i="17" s="1"/>
  <c r="L396" i="17" a="1"/>
  <c r="M396" i="17" s="1"/>
  <c r="L397" i="17" a="1"/>
  <c r="M397" i="17" s="1"/>
  <c r="L398" i="17" a="1"/>
  <c r="M398" i="17" s="1"/>
  <c r="L399" i="17" a="1"/>
  <c r="M399" i="17" s="1"/>
  <c r="L400" i="17" a="1"/>
  <c r="M400" i="17" s="1"/>
  <c r="L401" i="17" a="1"/>
  <c r="M401" i="17" s="1"/>
  <c r="L402" i="17" a="1"/>
  <c r="M402" i="17" s="1"/>
  <c r="L403" i="17" a="1"/>
  <c r="M403" i="17" s="1"/>
  <c r="L404" i="17" a="1"/>
  <c r="M404" i="17" s="1"/>
  <c r="L405" i="17" a="1"/>
  <c r="M405" i="17" s="1"/>
  <c r="L406" i="17" a="1"/>
  <c r="M406" i="17" s="1"/>
  <c r="L407" i="17" a="1"/>
  <c r="M407" i="17" s="1"/>
  <c r="L408" i="17" a="1"/>
  <c r="M408" i="17" s="1"/>
  <c r="L409" i="17" a="1"/>
  <c r="M409" i="17" s="1"/>
  <c r="L410" i="17" a="1"/>
  <c r="M410" i="17" s="1"/>
  <c r="L411" i="17" a="1"/>
  <c r="M411" i="17" s="1"/>
  <c r="L412" i="17" a="1"/>
  <c r="M412" i="17" s="1"/>
  <c r="L413" i="17" a="1"/>
  <c r="M413" i="17" s="1"/>
  <c r="L414" i="17" a="1"/>
  <c r="M414" i="17" s="1"/>
  <c r="L415" i="17" a="1"/>
  <c r="M415" i="17" s="1"/>
  <c r="L416" i="17" a="1"/>
  <c r="M416" i="17" s="1"/>
  <c r="L417" i="17" a="1"/>
  <c r="M417" i="17" s="1"/>
  <c r="L418" i="17" a="1"/>
  <c r="M418" i="17" s="1"/>
  <c r="L419" i="17" a="1"/>
  <c r="M419" i="17" s="1"/>
  <c r="L420" i="17" a="1"/>
  <c r="M420" i="17" s="1"/>
  <c r="L421" i="17" a="1"/>
  <c r="M421" i="17" s="1"/>
  <c r="L422" i="17" a="1"/>
  <c r="M422" i="17" s="1"/>
  <c r="L423" i="17" a="1"/>
  <c r="M423" i="17" s="1"/>
  <c r="L424" i="17" a="1"/>
  <c r="M424" i="17" s="1"/>
  <c r="L425" i="17" a="1"/>
  <c r="M425" i="17" s="1"/>
  <c r="L426" i="17" a="1"/>
  <c r="M426" i="17" s="1"/>
  <c r="L427" i="17" a="1"/>
  <c r="M427" i="17" s="1"/>
  <c r="L428" i="17" a="1"/>
  <c r="M428" i="17" s="1"/>
  <c r="L429" i="17" a="1"/>
  <c r="M429" i="17" s="1"/>
  <c r="L430" i="17" a="1"/>
  <c r="M430" i="17" s="1"/>
  <c r="L431" i="17" a="1"/>
  <c r="M431" i="17" s="1"/>
  <c r="L432" i="17" a="1"/>
  <c r="M432" i="17" s="1"/>
  <c r="L433" i="17" a="1"/>
  <c r="M433" i="17" s="1"/>
  <c r="L434" i="17" a="1"/>
  <c r="M434" i="17" s="1"/>
  <c r="L435" i="17" a="1"/>
  <c r="M435" i="17" s="1"/>
  <c r="L436" i="17" a="1"/>
  <c r="M436" i="17" s="1"/>
  <c r="L437" i="17" a="1"/>
  <c r="M437" i="17" s="1"/>
  <c r="L438" i="17" a="1"/>
  <c r="M438" i="17" s="1"/>
  <c r="L439" i="17" a="1"/>
  <c r="M439" i="17" s="1"/>
  <c r="L440" i="17" a="1"/>
  <c r="M440" i="17" s="1"/>
  <c r="L441" i="17" a="1"/>
  <c r="M441" i="17" s="1"/>
  <c r="L442" i="17" a="1"/>
  <c r="M442" i="17" s="1"/>
  <c r="L443" i="17" a="1"/>
  <c r="M443" i="17" s="1"/>
  <c r="L444" i="17" a="1"/>
  <c r="M444" i="17" s="1"/>
  <c r="L445" i="17" a="1"/>
  <c r="M445" i="17" s="1"/>
  <c r="L446" i="17" a="1"/>
  <c r="M446" i="17" s="1"/>
  <c r="L447" i="17" a="1"/>
  <c r="M447" i="17" s="1"/>
  <c r="L448" i="17" a="1"/>
  <c r="M448" i="17" s="1"/>
  <c r="L449" i="17" a="1"/>
  <c r="M449" i="17" s="1"/>
  <c r="L450" i="17" a="1"/>
  <c r="M450" i="17" s="1"/>
  <c r="L451" i="17" a="1"/>
  <c r="M451" i="17" s="1"/>
  <c r="L452" i="17" a="1"/>
  <c r="M452" i="17" s="1"/>
  <c r="L453" i="17" a="1"/>
  <c r="M453" i="17" s="1"/>
  <c r="L454" i="17" a="1"/>
  <c r="M454" i="17" s="1"/>
  <c r="L455" i="17" a="1"/>
  <c r="M455" i="17" s="1"/>
  <c r="L456" i="17" a="1"/>
  <c r="M456" i="17" s="1"/>
  <c r="L457" i="17" a="1"/>
  <c r="M457" i="17" s="1"/>
  <c r="L458" i="17" a="1"/>
  <c r="M458" i="17" s="1"/>
  <c r="L459" i="17" a="1"/>
  <c r="M459" i="17" s="1"/>
  <c r="L460" i="17" a="1"/>
  <c r="M460" i="17" s="1"/>
  <c r="L461" i="17" a="1"/>
  <c r="M461" i="17" s="1"/>
  <c r="L462" i="17" a="1"/>
  <c r="M462" i="17" s="1"/>
  <c r="L463" i="17" a="1"/>
  <c r="M463" i="17" s="1"/>
  <c r="L464" i="17" a="1"/>
  <c r="M464" i="17" s="1"/>
  <c r="L465" i="17" a="1"/>
  <c r="M465" i="17" s="1"/>
  <c r="L466" i="17" a="1"/>
  <c r="M466" i="17" s="1"/>
  <c r="L467" i="17" a="1"/>
  <c r="M467" i="17" s="1"/>
  <c r="L468" i="17" a="1"/>
  <c r="M468" i="17" s="1"/>
  <c r="L469" i="17" a="1"/>
  <c r="M469" i="17" s="1"/>
  <c r="L470" i="17" a="1"/>
  <c r="M470" i="17" s="1"/>
  <c r="L471" i="17" a="1"/>
  <c r="M471" i="17" s="1"/>
  <c r="L472" i="17" a="1"/>
  <c r="M472" i="17" s="1"/>
  <c r="L473" i="17" a="1"/>
  <c r="M473" i="17" s="1"/>
  <c r="L474" i="17" a="1"/>
  <c r="M474" i="17" s="1"/>
  <c r="L475" i="17" a="1"/>
  <c r="M475" i="17" s="1"/>
  <c r="L476" i="17" a="1"/>
  <c r="M476" i="17" s="1"/>
  <c r="L477" i="17" a="1"/>
  <c r="M477" i="17" s="1"/>
  <c r="L478" i="17" a="1"/>
  <c r="M478" i="17" s="1"/>
  <c r="L479" i="17" a="1"/>
  <c r="M479" i="17" s="1"/>
  <c r="L480" i="17" a="1"/>
  <c r="M480" i="17" s="1"/>
  <c r="L481" i="17" a="1"/>
  <c r="M481" i="17" s="1"/>
  <c r="L482" i="17" a="1"/>
  <c r="M482" i="17" s="1"/>
  <c r="L483" i="17" a="1"/>
  <c r="M483" i="17" s="1"/>
  <c r="L484" i="17" a="1"/>
  <c r="M484" i="17" s="1"/>
  <c r="L485" i="17" a="1"/>
  <c r="M485" i="17" s="1"/>
  <c r="L486" i="17" a="1"/>
  <c r="M486" i="17" s="1"/>
  <c r="L487" i="17" a="1"/>
  <c r="M487" i="17" s="1"/>
  <c r="L488" i="17" a="1"/>
  <c r="M488" i="17" s="1"/>
  <c r="L489" i="17" a="1"/>
  <c r="M489" i="17" s="1"/>
  <c r="L490" i="17" a="1"/>
  <c r="M490" i="17" s="1"/>
  <c r="L491" i="17" a="1"/>
  <c r="M491" i="17" s="1"/>
  <c r="L492" i="17" a="1"/>
  <c r="M492" i="17" s="1"/>
  <c r="L493" i="17" a="1"/>
  <c r="M493" i="17" s="1"/>
  <c r="L494" i="17" a="1"/>
  <c r="M494" i="17" s="1"/>
  <c r="L495" i="17" a="1"/>
  <c r="M495" i="17" s="1"/>
  <c r="L496" i="17" a="1"/>
  <c r="M496" i="17" s="1"/>
  <c r="L497" i="17" a="1"/>
  <c r="M497" i="17" s="1"/>
  <c r="L498" i="17" a="1"/>
  <c r="M498" i="17" s="1"/>
  <c r="L499" i="17" a="1"/>
  <c r="M499" i="17" s="1"/>
  <c r="L500" i="17" a="1"/>
  <c r="M500" i="17" s="1"/>
  <c r="L501" i="17" a="1"/>
  <c r="M501" i="17" s="1"/>
  <c r="L502" i="17" a="1"/>
  <c r="M502" i="17" s="1"/>
  <c r="L503" i="17" a="1"/>
  <c r="M503" i="17" s="1"/>
  <c r="L504" i="17" a="1"/>
  <c r="M504" i="17" s="1"/>
  <c r="L505" i="17" a="1"/>
  <c r="M505" i="17" s="1"/>
  <c r="L506" i="17" a="1"/>
  <c r="M506" i="17" s="1"/>
  <c r="L507" i="17" a="1"/>
  <c r="M507" i="17" s="1"/>
  <c r="L508" i="17" a="1"/>
  <c r="M508" i="17" s="1"/>
  <c r="L509" i="17" a="1"/>
  <c r="M509" i="17" s="1"/>
  <c r="L510" i="17" a="1"/>
  <c r="M510" i="17" s="1"/>
  <c r="L511" i="17" a="1"/>
  <c r="M511" i="17" s="1"/>
  <c r="L512" i="17" a="1"/>
  <c r="M512" i="17" s="1"/>
  <c r="L513" i="17" a="1"/>
  <c r="M513" i="17" s="1"/>
  <c r="L514" i="17" a="1"/>
  <c r="M514" i="17" s="1"/>
  <c r="L515" i="17" a="1"/>
  <c r="M515" i="17" s="1"/>
  <c r="L516" i="17" a="1"/>
  <c r="M516" i="17" s="1"/>
  <c r="L517" i="17" a="1"/>
  <c r="M517" i="17" s="1"/>
  <c r="L518" i="17" a="1"/>
  <c r="M518" i="17" s="1"/>
  <c r="L519" i="17" a="1"/>
  <c r="M519" i="17" s="1"/>
  <c r="L520" i="17" a="1"/>
  <c r="M520" i="17" s="1"/>
  <c r="L521" i="17" a="1"/>
  <c r="M521" i="17" s="1"/>
  <c r="L522" i="17" a="1"/>
  <c r="M522" i="17" s="1"/>
  <c r="L523" i="17" a="1"/>
  <c r="M523" i="17" s="1"/>
  <c r="L524" i="17" a="1"/>
  <c r="M524" i="17" s="1"/>
  <c r="L525" i="17" a="1"/>
  <c r="M525" i="17" s="1"/>
  <c r="L526" i="17" a="1"/>
  <c r="M526" i="17" s="1"/>
  <c r="L527" i="17" a="1"/>
  <c r="M527" i="17" s="1"/>
  <c r="L528" i="17" a="1"/>
  <c r="M528" i="17" s="1"/>
  <c r="L529" i="17" a="1"/>
  <c r="M529" i="17" s="1"/>
  <c r="L530" i="17" a="1"/>
  <c r="M530" i="17" s="1"/>
  <c r="L531" i="17" a="1"/>
  <c r="M531" i="17" s="1"/>
  <c r="L532" i="17" a="1"/>
  <c r="M532" i="17" s="1"/>
  <c r="L533" i="17" a="1"/>
  <c r="M533" i="17" s="1"/>
  <c r="L534" i="17" a="1"/>
  <c r="M534" i="17" s="1"/>
  <c r="L535" i="17" a="1"/>
  <c r="M535" i="17" s="1"/>
  <c r="L536" i="17" a="1"/>
  <c r="M536" i="17" s="1"/>
  <c r="L537" i="17" a="1"/>
  <c r="M537" i="17" s="1"/>
  <c r="L538" i="17" a="1"/>
  <c r="M538" i="17" s="1"/>
  <c r="L539" i="17" a="1"/>
  <c r="M539" i="17" s="1"/>
  <c r="L540" i="17" a="1"/>
  <c r="M540" i="17" s="1"/>
  <c r="L541" i="17" a="1"/>
  <c r="M541" i="17" s="1"/>
  <c r="L542" i="17" a="1"/>
  <c r="M542" i="17" s="1"/>
  <c r="L543" i="17" a="1"/>
  <c r="M543" i="17" s="1"/>
  <c r="L544" i="17" a="1"/>
  <c r="M544" i="17" s="1"/>
  <c r="L545" i="17" a="1"/>
  <c r="M545" i="17" s="1"/>
  <c r="L546" i="17" a="1"/>
  <c r="M546" i="17" s="1"/>
  <c r="L547" i="17" a="1"/>
  <c r="M547" i="17" s="1"/>
  <c r="L548" i="17" a="1"/>
  <c r="M548" i="17" s="1"/>
  <c r="L549" i="17" a="1"/>
  <c r="M549" i="17" s="1"/>
  <c r="L550" i="17" a="1"/>
  <c r="M550" i="17" s="1"/>
  <c r="L551" i="17" a="1"/>
  <c r="M551" i="17" s="1"/>
  <c r="L552" i="17" a="1"/>
  <c r="M552" i="17" s="1"/>
  <c r="L553" i="17" a="1"/>
  <c r="M553" i="17" s="1"/>
  <c r="L554" i="17" a="1"/>
  <c r="M554" i="17" s="1"/>
  <c r="L555" i="17" a="1"/>
  <c r="M555" i="17" s="1"/>
  <c r="L556" i="17" a="1"/>
  <c r="M556" i="17" s="1"/>
  <c r="L557" i="17" a="1"/>
  <c r="M557" i="17" s="1"/>
  <c r="L558" i="17" a="1"/>
  <c r="M558" i="17" s="1"/>
  <c r="L559" i="17" a="1"/>
  <c r="M559" i="17" s="1"/>
  <c r="L560" i="17" a="1"/>
  <c r="M560" i="17" s="1"/>
  <c r="L561" i="17" a="1"/>
  <c r="M561" i="17" s="1"/>
  <c r="L562" i="17" a="1"/>
  <c r="M562" i="17" s="1"/>
  <c r="L563" i="17" a="1"/>
  <c r="M563" i="17" s="1"/>
  <c r="L564" i="17" a="1"/>
  <c r="M564" i="17" s="1"/>
  <c r="L565" i="17" a="1"/>
  <c r="M565" i="17" s="1"/>
  <c r="L566" i="17" a="1"/>
  <c r="M566" i="17" s="1"/>
  <c r="L567" i="17" a="1"/>
  <c r="M567" i="17" s="1"/>
  <c r="L568" i="17" a="1"/>
  <c r="M568" i="17" s="1"/>
  <c r="L569" i="17" a="1"/>
  <c r="M569" i="17" s="1"/>
  <c r="L570" i="17" a="1"/>
  <c r="M570" i="17" s="1"/>
  <c r="L571" i="17" a="1"/>
  <c r="M571" i="17" s="1"/>
  <c r="L572" i="17" a="1"/>
  <c r="M572" i="17" s="1"/>
  <c r="L573" i="17" a="1"/>
  <c r="M573" i="17" s="1"/>
  <c r="L574" i="17" a="1"/>
  <c r="M574" i="17" s="1"/>
  <c r="L575" i="17" a="1"/>
  <c r="M575" i="17" s="1"/>
  <c r="L576" i="17" a="1"/>
  <c r="M576" i="17" s="1"/>
  <c r="L577" i="17" a="1"/>
  <c r="M577" i="17" s="1"/>
  <c r="L578" i="17" a="1"/>
  <c r="M578" i="17" s="1"/>
  <c r="L579" i="17" a="1"/>
  <c r="M579" i="17" s="1"/>
  <c r="L580" i="17" a="1"/>
  <c r="M580" i="17" s="1"/>
  <c r="L581" i="17" a="1"/>
  <c r="M581" i="17" s="1"/>
  <c r="L582" i="17" a="1"/>
  <c r="M582" i="17" s="1"/>
  <c r="L583" i="17" a="1"/>
  <c r="M583" i="17" s="1"/>
  <c r="L584" i="17" a="1"/>
  <c r="M584" i="17" s="1"/>
  <c r="L585" i="17" a="1"/>
  <c r="M585" i="17" s="1"/>
  <c r="L586" i="17" a="1"/>
  <c r="M586" i="17" s="1"/>
  <c r="L587" i="17" a="1"/>
  <c r="M587" i="17" s="1"/>
  <c r="L588" i="17" a="1"/>
  <c r="M588" i="17" s="1"/>
  <c r="L589" i="17" a="1"/>
  <c r="M589" i="17" s="1"/>
  <c r="L590" i="17" a="1"/>
  <c r="M590" i="17" s="1"/>
  <c r="L591" i="17" a="1"/>
  <c r="M591" i="17" s="1"/>
  <c r="L592" i="17" a="1"/>
  <c r="M592" i="17" s="1"/>
  <c r="L593" i="17" a="1"/>
  <c r="M593" i="17" s="1"/>
  <c r="L594" i="17" a="1"/>
  <c r="M594" i="17" s="1"/>
  <c r="L595" i="17" a="1"/>
  <c r="M595" i="17" s="1"/>
  <c r="L596" i="17" a="1"/>
  <c r="M596" i="17" s="1"/>
  <c r="L597" i="17" a="1"/>
  <c r="M597" i="17" s="1"/>
  <c r="L598" i="17" a="1"/>
  <c r="M598" i="17" s="1"/>
  <c r="L599" i="17" a="1"/>
  <c r="M599" i="17" s="1"/>
  <c r="L600" i="17" a="1"/>
  <c r="M600" i="17" s="1"/>
  <c r="L601" i="17" a="1"/>
  <c r="M601" i="17" s="1"/>
  <c r="L602" i="17" a="1"/>
  <c r="M602" i="17" s="1"/>
  <c r="L603" i="17" a="1"/>
  <c r="M603" i="17" s="1"/>
  <c r="L604" i="17" a="1"/>
  <c r="M604" i="17" s="1"/>
  <c r="L605" i="17" a="1"/>
  <c r="M605" i="17" s="1"/>
  <c r="L606" i="17" a="1"/>
  <c r="M606" i="17" s="1"/>
  <c r="L607" i="17" a="1"/>
  <c r="M607" i="17" s="1"/>
  <c r="L608" i="17" a="1"/>
  <c r="M608" i="17" s="1"/>
  <c r="L609" i="17" a="1"/>
  <c r="M609" i="17" s="1"/>
  <c r="L610" i="17" a="1"/>
  <c r="M610" i="17" s="1"/>
  <c r="L611" i="17" a="1"/>
  <c r="M611" i="17" s="1"/>
  <c r="L612" i="17" a="1"/>
  <c r="M612" i="17" s="1"/>
  <c r="L613" i="17" a="1"/>
  <c r="M613" i="17" s="1"/>
  <c r="L614" i="17" a="1"/>
  <c r="M614" i="17" s="1"/>
  <c r="L615" i="17" a="1"/>
  <c r="M615" i="17" s="1"/>
  <c r="L616" i="17" a="1"/>
  <c r="M616" i="17" s="1"/>
  <c r="L617" i="17" a="1"/>
  <c r="M617" i="17" s="1"/>
  <c r="L618" i="17" a="1"/>
  <c r="M618" i="17" s="1"/>
  <c r="L619" i="17" a="1"/>
  <c r="M619" i="17" s="1"/>
  <c r="L620" i="17" a="1"/>
  <c r="M620" i="17" s="1"/>
  <c r="L621" i="17" a="1"/>
  <c r="M621" i="17" s="1"/>
  <c r="L622" i="17" a="1"/>
  <c r="M622" i="17" s="1"/>
  <c r="L623" i="17" a="1"/>
  <c r="M623" i="17" s="1"/>
  <c r="L624" i="17" a="1"/>
  <c r="M624" i="17" s="1"/>
  <c r="L625" i="17" a="1"/>
  <c r="M625" i="17" s="1"/>
  <c r="L626" i="17" a="1"/>
  <c r="M626" i="17" s="1"/>
  <c r="L627" i="17" a="1"/>
  <c r="M627" i="17" s="1"/>
  <c r="L628" i="17" a="1"/>
  <c r="M628" i="17" s="1"/>
  <c r="L629" i="17" a="1"/>
  <c r="M629" i="17" s="1"/>
  <c r="L630" i="17" a="1"/>
  <c r="M630" i="17" s="1"/>
  <c r="L631" i="17" a="1"/>
  <c r="M631" i="17" s="1"/>
  <c r="L632" i="17" a="1"/>
  <c r="M632" i="17" s="1"/>
  <c r="L633" i="17" a="1"/>
  <c r="M633" i="17" s="1"/>
  <c r="L634" i="17" a="1"/>
  <c r="M634" i="17" s="1"/>
  <c r="L635" i="17" a="1"/>
  <c r="M635" i="17" s="1"/>
  <c r="L636" i="17" a="1"/>
  <c r="M636" i="17" s="1"/>
  <c r="L637" i="17" a="1"/>
  <c r="M637" i="17" s="1"/>
  <c r="L638" i="17" a="1"/>
  <c r="M638" i="17" s="1"/>
  <c r="L639" i="17" a="1"/>
  <c r="M639" i="17" s="1"/>
  <c r="L640" i="17" a="1"/>
  <c r="M640" i="17" s="1"/>
  <c r="L641" i="17" a="1"/>
  <c r="M641" i="17" s="1"/>
  <c r="L642" i="17" a="1"/>
  <c r="M642" i="17" s="1"/>
  <c r="L643" i="17" a="1"/>
  <c r="M643" i="17" s="1"/>
  <c r="L644" i="17" a="1"/>
  <c r="M644" i="17" s="1"/>
  <c r="L645" i="17" a="1"/>
  <c r="M645" i="17" s="1"/>
  <c r="L646" i="17" a="1"/>
  <c r="M646" i="17" s="1"/>
  <c r="L647" i="17" a="1"/>
  <c r="M647" i="17" s="1"/>
  <c r="L648" i="17" a="1"/>
  <c r="M648" i="17" s="1"/>
  <c r="L649" i="17" a="1"/>
  <c r="M649" i="17" s="1"/>
  <c r="L650" i="17" a="1"/>
  <c r="M650" i="17" s="1"/>
  <c r="L651" i="17" a="1"/>
  <c r="M651" i="17" s="1"/>
  <c r="L652" i="17" a="1"/>
  <c r="M652" i="17" s="1"/>
  <c r="L653" i="17" a="1"/>
  <c r="M653" i="17" s="1"/>
  <c r="L654" i="17" a="1"/>
  <c r="M654" i="17" s="1"/>
  <c r="L655" i="17" a="1"/>
  <c r="M655" i="17" s="1"/>
  <c r="L656" i="17" a="1"/>
  <c r="M656" i="17" s="1"/>
  <c r="L657" i="17" a="1"/>
  <c r="M657" i="17" s="1"/>
  <c r="L658" i="17" a="1"/>
  <c r="M658" i="17" s="1"/>
  <c r="L659" i="17" a="1"/>
  <c r="M659" i="17" s="1"/>
  <c r="L660" i="17" a="1"/>
  <c r="M660" i="17" s="1"/>
  <c r="L661" i="17" a="1"/>
  <c r="M661" i="17" s="1"/>
  <c r="L662" i="17" a="1"/>
  <c r="M662" i="17" s="1"/>
  <c r="L663" i="17" a="1"/>
  <c r="M663" i="17" s="1"/>
  <c r="L664" i="17" a="1"/>
  <c r="M664" i="17" s="1"/>
  <c r="L665" i="17" a="1"/>
  <c r="M665" i="17" s="1"/>
  <c r="L666" i="17" a="1"/>
  <c r="M666" i="17" s="1"/>
  <c r="L667" i="17" a="1"/>
  <c r="M667" i="17" s="1"/>
  <c r="L668" i="17" a="1"/>
  <c r="M668" i="17" s="1"/>
  <c r="L669" i="17" a="1"/>
  <c r="M669" i="17" s="1"/>
  <c r="L670" i="17" a="1"/>
  <c r="M670" i="17" s="1"/>
  <c r="L671" i="17" a="1"/>
  <c r="M671" i="17" s="1"/>
  <c r="L672" i="17" a="1"/>
  <c r="M672" i="17" s="1"/>
  <c r="L673" i="17" a="1"/>
  <c r="M673" i="17" s="1"/>
  <c r="L674" i="17" a="1"/>
  <c r="M674" i="17" s="1"/>
  <c r="L675" i="17" a="1"/>
  <c r="M675" i="17" s="1"/>
  <c r="L676" i="17" a="1"/>
  <c r="M676" i="17" s="1"/>
  <c r="L677" i="17" a="1"/>
  <c r="M677" i="17" s="1"/>
  <c r="L678" i="17" a="1"/>
  <c r="M678" i="17" s="1"/>
  <c r="L679" i="17" a="1"/>
  <c r="M679" i="17" s="1"/>
  <c r="L680" i="17" a="1"/>
  <c r="M680" i="17" s="1"/>
  <c r="L681" i="17" a="1"/>
  <c r="M681" i="17" s="1"/>
  <c r="L682" i="17" a="1"/>
  <c r="M682" i="17" s="1"/>
  <c r="L683" i="17" a="1"/>
  <c r="M683" i="17" s="1"/>
  <c r="L684" i="17" a="1"/>
  <c r="M684" i="17" s="1"/>
  <c r="L685" i="17" a="1"/>
  <c r="M685" i="17" s="1"/>
  <c r="L686" i="17" a="1"/>
  <c r="M686" i="17" s="1"/>
  <c r="L687" i="17" a="1"/>
  <c r="M687" i="17" s="1"/>
  <c r="L688" i="17" a="1"/>
  <c r="M688" i="17" s="1"/>
  <c r="L689" i="17" a="1"/>
  <c r="M689" i="17" s="1"/>
  <c r="L690" i="17" a="1"/>
  <c r="M690" i="17" s="1"/>
  <c r="L691" i="17" a="1"/>
  <c r="M691" i="17" s="1"/>
  <c r="L692" i="17" a="1"/>
  <c r="M692" i="17" s="1"/>
  <c r="L693" i="17" a="1"/>
  <c r="M693" i="17" s="1"/>
  <c r="L694" i="17" a="1"/>
  <c r="M694" i="17" s="1"/>
  <c r="L695" i="17" a="1"/>
  <c r="M695" i="17" s="1"/>
  <c r="L696" i="17" a="1"/>
  <c r="M696" i="17" s="1"/>
  <c r="L697" i="17" a="1"/>
  <c r="M697" i="17" s="1"/>
  <c r="L698" i="17" a="1"/>
  <c r="M698" i="17" s="1"/>
  <c r="L699" i="17" a="1"/>
  <c r="M699" i="17" s="1"/>
  <c r="L700" i="17" a="1"/>
  <c r="M700" i="17" s="1"/>
  <c r="L701" i="17" a="1"/>
  <c r="M701" i="17" s="1"/>
  <c r="L702" i="17" a="1"/>
  <c r="M702" i="17" s="1"/>
  <c r="L703" i="17" a="1"/>
  <c r="M703" i="17" s="1"/>
  <c r="L704" i="17" a="1"/>
  <c r="M704" i="17" s="1"/>
  <c r="L705" i="17" a="1"/>
  <c r="M705" i="17" s="1"/>
  <c r="L706" i="17" a="1"/>
  <c r="M706" i="17" s="1"/>
  <c r="L707" i="17" a="1"/>
  <c r="M707" i="17" s="1"/>
  <c r="L708" i="17" a="1"/>
  <c r="M708" i="17" s="1"/>
  <c r="L709" i="17" a="1"/>
  <c r="M709" i="17" s="1"/>
  <c r="L710" i="17" a="1"/>
  <c r="M710" i="17" s="1"/>
  <c r="L711" i="17" a="1"/>
  <c r="M711" i="17" s="1"/>
  <c r="L712" i="17" a="1"/>
  <c r="M712" i="17" s="1"/>
  <c r="L713" i="17" a="1"/>
  <c r="M713" i="17" s="1"/>
  <c r="L714" i="17" a="1"/>
  <c r="M714" i="17" s="1"/>
  <c r="L715" i="17" a="1"/>
  <c r="M715" i="17" s="1"/>
  <c r="L716" i="17" a="1"/>
  <c r="M716" i="17" s="1"/>
  <c r="L717" i="17" a="1"/>
  <c r="M717" i="17" s="1"/>
  <c r="L718" i="17" a="1"/>
  <c r="M718" i="17" s="1"/>
  <c r="L719" i="17" a="1"/>
  <c r="M719" i="17" s="1"/>
  <c r="L720" i="17" a="1"/>
  <c r="M720" i="17" s="1"/>
  <c r="L721" i="17" a="1"/>
  <c r="M721" i="17" s="1"/>
  <c r="L722" i="17" a="1"/>
  <c r="M722" i="17" s="1"/>
  <c r="L723" i="17" a="1"/>
  <c r="M723" i="17" s="1"/>
  <c r="L724" i="17" a="1"/>
  <c r="M724" i="17" s="1"/>
  <c r="L725" i="17" a="1"/>
  <c r="M725" i="17" s="1"/>
  <c r="L726" i="17" a="1"/>
  <c r="M726" i="17" s="1"/>
  <c r="L727" i="17" a="1"/>
  <c r="M727" i="17" s="1"/>
  <c r="L728" i="17" a="1"/>
  <c r="M728" i="17" s="1"/>
  <c r="L729" i="17" a="1"/>
  <c r="M729" i="17" s="1"/>
  <c r="L730" i="17" a="1"/>
  <c r="M730" i="17" s="1"/>
  <c r="L731" i="17" a="1"/>
  <c r="M731" i="17" s="1"/>
  <c r="L732" i="17" a="1"/>
  <c r="M732" i="17" s="1"/>
  <c r="L733" i="17" a="1"/>
  <c r="M733" i="17" s="1"/>
  <c r="L734" i="17" a="1"/>
  <c r="M734" i="17" s="1"/>
  <c r="L735" i="17" a="1"/>
  <c r="M735" i="17" s="1"/>
  <c r="L736" i="17" a="1"/>
  <c r="M736" i="17" s="1"/>
  <c r="L737" i="17" a="1"/>
  <c r="M737" i="17" s="1"/>
  <c r="L738" i="17" a="1"/>
  <c r="M738" i="17" s="1"/>
  <c r="L739" i="17" a="1"/>
  <c r="M739" i="17" s="1"/>
  <c r="L740" i="17" a="1"/>
  <c r="M740" i="17" s="1"/>
  <c r="L741" i="17" a="1"/>
  <c r="M741" i="17" s="1"/>
  <c r="L742" i="17" a="1"/>
  <c r="M742" i="17" s="1"/>
  <c r="L743" i="17" a="1"/>
  <c r="M743" i="17" s="1"/>
  <c r="L744" i="17" a="1"/>
  <c r="M744" i="17" s="1"/>
  <c r="L745" i="17" a="1"/>
  <c r="M745" i="17" s="1"/>
  <c r="L746" i="17" a="1"/>
  <c r="M746" i="17" s="1"/>
  <c r="L747" i="17" a="1"/>
  <c r="M747" i="17" s="1"/>
  <c r="L748" i="17" a="1"/>
  <c r="M748" i="17" s="1"/>
  <c r="L749" i="17" a="1"/>
  <c r="M749" i="17" s="1"/>
  <c r="L750" i="17" a="1"/>
  <c r="M750" i="17" s="1"/>
  <c r="L751" i="17" a="1"/>
  <c r="M751" i="17" s="1"/>
  <c r="L752" i="17" a="1"/>
  <c r="M752" i="17" s="1"/>
  <c r="L753" i="17" a="1"/>
  <c r="M753" i="17" s="1"/>
  <c r="L754" i="17" a="1"/>
  <c r="M754" i="17" s="1"/>
  <c r="L755" i="17" a="1"/>
  <c r="M755" i="17" s="1"/>
  <c r="L756" i="17" a="1"/>
  <c r="M756" i="17" s="1"/>
  <c r="L757" i="17" a="1"/>
  <c r="M757" i="17" s="1"/>
  <c r="L758" i="17" a="1"/>
  <c r="M758" i="17" s="1"/>
  <c r="L759" i="17" a="1"/>
  <c r="M759" i="17" s="1"/>
  <c r="L760" i="17" a="1"/>
  <c r="M760" i="17" s="1"/>
  <c r="L761" i="17" a="1"/>
  <c r="M761" i="17" s="1"/>
  <c r="L762" i="17" a="1"/>
  <c r="M762" i="17" s="1"/>
  <c r="L763" i="17" a="1"/>
  <c r="M763" i="17" s="1"/>
  <c r="L764" i="17" a="1"/>
  <c r="M764" i="17" s="1"/>
  <c r="L765" i="17" a="1"/>
  <c r="M765" i="17" s="1"/>
  <c r="L766" i="17" a="1"/>
  <c r="M766" i="17" s="1"/>
  <c r="L767" i="17" a="1"/>
  <c r="M767" i="17" s="1"/>
  <c r="L768" i="17" a="1"/>
  <c r="M768" i="17" s="1"/>
  <c r="L769" i="17" a="1"/>
  <c r="M769" i="17" s="1"/>
  <c r="L770" i="17" a="1"/>
  <c r="M770" i="17" s="1"/>
  <c r="L771" i="17" a="1"/>
  <c r="M771" i="17" s="1"/>
  <c r="L772" i="17" a="1"/>
  <c r="M772" i="17" s="1"/>
  <c r="L773" i="17" a="1"/>
  <c r="M773" i="17" s="1"/>
  <c r="L774" i="17" a="1"/>
  <c r="M774" i="17" s="1"/>
  <c r="L775" i="17" a="1"/>
  <c r="M775" i="17" s="1"/>
  <c r="L776" i="17" a="1"/>
  <c r="M776" i="17" s="1"/>
  <c r="L777" i="17" a="1"/>
  <c r="M777" i="17" s="1"/>
  <c r="L778" i="17" a="1"/>
  <c r="M778" i="17" s="1"/>
  <c r="L779" i="17" a="1"/>
  <c r="M779" i="17" s="1"/>
  <c r="L780" i="17" a="1"/>
  <c r="M780" i="17" s="1"/>
  <c r="L781" i="17" a="1"/>
  <c r="M781" i="17" s="1"/>
  <c r="L782" i="17" a="1"/>
  <c r="M782" i="17" s="1"/>
  <c r="L783" i="17" a="1"/>
  <c r="M783" i="17" s="1"/>
  <c r="L784" i="17" a="1"/>
  <c r="M784" i="17" s="1"/>
  <c r="L785" i="17" a="1"/>
  <c r="M785" i="17" s="1"/>
  <c r="L786" i="17" a="1"/>
  <c r="M786" i="17" s="1"/>
  <c r="L787" i="17" a="1"/>
  <c r="M787" i="17" s="1"/>
  <c r="L788" i="17" a="1"/>
  <c r="M788" i="17" s="1"/>
  <c r="L789" i="17" a="1"/>
  <c r="M789" i="17" s="1"/>
  <c r="L790" i="17" a="1"/>
  <c r="M790" i="17" s="1"/>
  <c r="L791" i="17" a="1"/>
  <c r="M791" i="17" s="1"/>
  <c r="L792" i="17" a="1"/>
  <c r="M792" i="17" s="1"/>
  <c r="L794" i="17" a="1"/>
  <c r="M794" i="17" s="1"/>
  <c r="L795" i="17" a="1"/>
  <c r="M795" i="17" s="1"/>
  <c r="L796" i="17" a="1"/>
  <c r="M796" i="17" s="1"/>
  <c r="L797" i="17" a="1"/>
  <c r="M797" i="17" s="1"/>
  <c r="L798" i="17" a="1"/>
  <c r="M798" i="17" s="1"/>
  <c r="L799" i="17" a="1"/>
  <c r="M799" i="17" s="1"/>
  <c r="L800" i="17" a="1"/>
  <c r="M800" i="17" s="1"/>
  <c r="L801" i="17" a="1"/>
  <c r="M801" i="17" s="1"/>
  <c r="L802" i="17" a="1"/>
  <c r="M802" i="17" s="1"/>
  <c r="L803" i="17" a="1"/>
  <c r="M803" i="17" s="1"/>
  <c r="L804" i="17" a="1"/>
  <c r="M804" i="17" s="1"/>
  <c r="L805" i="17" a="1"/>
  <c r="M805" i="17" s="1"/>
  <c r="L806" i="17" a="1"/>
  <c r="M806" i="17" s="1"/>
  <c r="L807" i="17" a="1"/>
  <c r="M807" i="17" s="1"/>
  <c r="L808" i="17" a="1"/>
  <c r="M808" i="17" s="1"/>
  <c r="L809" i="17" a="1"/>
  <c r="M809" i="17" s="1"/>
  <c r="L810" i="17" a="1"/>
  <c r="M810" i="17" s="1"/>
  <c r="L811" i="17" a="1"/>
  <c r="M811" i="17" s="1"/>
  <c r="L812" i="17" a="1"/>
  <c r="M812" i="17" s="1"/>
  <c r="L813" i="17" a="1"/>
  <c r="M813" i="17" s="1"/>
  <c r="L814" i="17" a="1"/>
  <c r="M814" i="17" s="1"/>
  <c r="L815" i="17" a="1"/>
  <c r="M815" i="17" s="1"/>
  <c r="L816" i="17" a="1"/>
  <c r="M816" i="17" s="1"/>
  <c r="L817" i="17" a="1"/>
  <c r="M817" i="17" s="1"/>
  <c r="L818" i="17" a="1"/>
  <c r="M818" i="17" s="1"/>
  <c r="L819" i="17" a="1"/>
  <c r="M819" i="17" s="1"/>
  <c r="L820" i="17" a="1"/>
  <c r="M820" i="17" s="1"/>
  <c r="L821" i="17" a="1"/>
  <c r="M821" i="17" s="1"/>
  <c r="L822" i="17" a="1"/>
  <c r="M822" i="17" s="1"/>
  <c r="L823" i="17" a="1"/>
  <c r="M823" i="17" s="1"/>
  <c r="L824" i="17" a="1"/>
  <c r="M824" i="17" s="1"/>
  <c r="L825" i="17" a="1"/>
  <c r="M825" i="17" s="1"/>
  <c r="L826" i="17" a="1"/>
  <c r="M826" i="17" s="1"/>
  <c r="L827" i="17" a="1"/>
  <c r="M827" i="17" s="1"/>
  <c r="L828" i="17" a="1"/>
  <c r="M828" i="17" s="1"/>
  <c r="L829" i="17" a="1"/>
  <c r="M829" i="17" s="1"/>
  <c r="L830" i="17" a="1"/>
  <c r="M830" i="17" s="1"/>
  <c r="L831" i="17" a="1"/>
  <c r="M831" i="17" s="1"/>
  <c r="L832" i="17" a="1"/>
  <c r="M832" i="17" s="1"/>
  <c r="L833" i="17" a="1"/>
  <c r="M833" i="17" s="1"/>
  <c r="L834" i="17" a="1"/>
  <c r="M834" i="17" s="1"/>
  <c r="L835" i="17" a="1"/>
  <c r="M835" i="17" s="1"/>
  <c r="L836" i="17" a="1"/>
  <c r="M836" i="17" s="1"/>
  <c r="L837" i="17" a="1"/>
  <c r="M837" i="17" s="1"/>
  <c r="L838" i="17" a="1"/>
  <c r="M838" i="17" s="1"/>
  <c r="L839" i="17" a="1"/>
  <c r="M839" i="17" s="1"/>
  <c r="L840" i="17" a="1"/>
  <c r="M840" i="17" s="1"/>
  <c r="L841" i="17" a="1"/>
  <c r="M841" i="17" s="1"/>
  <c r="L842" i="17" a="1"/>
  <c r="M842" i="17" s="1"/>
  <c r="L843" i="17" a="1"/>
  <c r="M843" i="17" s="1"/>
  <c r="L844" i="17" a="1"/>
  <c r="M844" i="17" s="1"/>
  <c r="L845" i="17" a="1"/>
  <c r="M845" i="17" s="1"/>
  <c r="L846" i="17" a="1"/>
  <c r="M846" i="17" s="1"/>
  <c r="L847" i="17" a="1"/>
  <c r="M847" i="17" s="1"/>
  <c r="L848" i="17" a="1"/>
  <c r="M848" i="17" s="1"/>
  <c r="L849" i="17" a="1"/>
  <c r="M849" i="17" s="1"/>
  <c r="L850" i="17" a="1"/>
  <c r="M850" i="17" s="1"/>
  <c r="L851" i="17" a="1"/>
  <c r="M851" i="17" s="1"/>
  <c r="L852" i="17" a="1"/>
  <c r="M852" i="17" s="1"/>
  <c r="L853" i="17" a="1"/>
  <c r="M853" i="17" s="1"/>
  <c r="L854" i="17" a="1"/>
  <c r="M854" i="17" s="1"/>
  <c r="L855" i="17" a="1"/>
  <c r="M855" i="17" s="1"/>
  <c r="L856" i="17" a="1"/>
  <c r="M856" i="17" s="1"/>
  <c r="L857" i="17" a="1"/>
  <c r="M857" i="17" s="1"/>
  <c r="L858" i="17" a="1"/>
  <c r="M858" i="17" s="1"/>
  <c r="L859" i="17" a="1"/>
  <c r="M859" i="17" s="1"/>
  <c r="L860" i="17" a="1"/>
  <c r="M860" i="17" s="1"/>
  <c r="L861" i="17" a="1"/>
  <c r="M861" i="17" s="1"/>
  <c r="L862" i="17" a="1"/>
  <c r="M862" i="17" s="1"/>
  <c r="L863" i="17" a="1"/>
  <c r="M863" i="17" s="1"/>
  <c r="L864" i="17" a="1"/>
  <c r="M864" i="17" s="1"/>
  <c r="L865" i="17" a="1"/>
  <c r="M865" i="17" s="1"/>
  <c r="L866" i="17" a="1"/>
  <c r="M866" i="17" s="1"/>
  <c r="L867" i="17" a="1"/>
  <c r="M867" i="17" s="1"/>
  <c r="L868" i="17" a="1"/>
  <c r="M868" i="17" s="1"/>
  <c r="L869" i="17" a="1"/>
  <c r="M869" i="17" s="1"/>
  <c r="L870" i="17" a="1"/>
  <c r="M870" i="17" s="1"/>
  <c r="L871" i="17" a="1"/>
  <c r="M871" i="17" s="1"/>
  <c r="L872" i="17" a="1"/>
  <c r="M872" i="17" s="1"/>
  <c r="L873" i="17" a="1"/>
  <c r="M873" i="17" s="1"/>
  <c r="L874" i="17" a="1"/>
  <c r="M874" i="17" s="1"/>
  <c r="L875" i="17" a="1"/>
  <c r="M875" i="17" s="1"/>
  <c r="L876" i="17" a="1"/>
  <c r="M876" i="17" s="1"/>
  <c r="L877" i="17" a="1"/>
  <c r="M877" i="17" s="1"/>
  <c r="L878" i="17" a="1"/>
  <c r="M878" i="17" s="1"/>
  <c r="L879" i="17" a="1"/>
  <c r="M879" i="17" s="1"/>
  <c r="L880" i="17" a="1"/>
  <c r="M880" i="17" s="1"/>
  <c r="L881" i="17" a="1"/>
  <c r="M881" i="17" s="1"/>
  <c r="L882" i="17" a="1"/>
  <c r="M882" i="17" s="1"/>
  <c r="L883" i="17" a="1"/>
  <c r="M883" i="17" s="1"/>
  <c r="L884" i="17" a="1"/>
  <c r="M884" i="17" s="1"/>
  <c r="L885" i="17" a="1"/>
  <c r="M885" i="17" s="1"/>
  <c r="L886" i="17" a="1"/>
  <c r="M886" i="17" s="1"/>
  <c r="L887" i="17" a="1"/>
  <c r="M887" i="17" s="1"/>
  <c r="L888" i="17" a="1"/>
  <c r="M888" i="17" s="1"/>
  <c r="L889" i="17" a="1"/>
  <c r="M889" i="17" s="1"/>
  <c r="L890" i="17" a="1"/>
  <c r="M890" i="17" s="1"/>
  <c r="L891" i="17" a="1"/>
  <c r="M891" i="17" s="1"/>
  <c r="L892" i="17" a="1"/>
  <c r="M892" i="17" s="1"/>
  <c r="L893" i="17" a="1"/>
  <c r="M893" i="17" s="1"/>
  <c r="L894" i="17" a="1"/>
  <c r="M894" i="17" s="1"/>
  <c r="L895" i="17" a="1"/>
  <c r="M895" i="17" s="1"/>
  <c r="L896" i="17" a="1"/>
  <c r="M896" i="17" s="1"/>
  <c r="L897" i="17" a="1"/>
  <c r="M897" i="17" s="1"/>
  <c r="L898" i="17" a="1"/>
  <c r="M898" i="17" s="1"/>
  <c r="L899" i="17" a="1"/>
  <c r="M899" i="17" s="1"/>
  <c r="L900" i="17" a="1"/>
  <c r="M900" i="17" s="1"/>
  <c r="L901" i="17" a="1"/>
  <c r="M901" i="17" s="1"/>
  <c r="L902" i="17" a="1"/>
  <c r="M902" i="17" s="1"/>
  <c r="L903" i="17" a="1"/>
  <c r="M903" i="17" s="1"/>
  <c r="L904" i="17" a="1"/>
  <c r="M904" i="17" s="1"/>
  <c r="L905" i="17" a="1"/>
  <c r="M905" i="17" s="1"/>
  <c r="L906" i="17" a="1"/>
  <c r="M906" i="17" s="1"/>
  <c r="L907" i="17" a="1"/>
  <c r="M907" i="17" s="1"/>
  <c r="L908" i="17" a="1"/>
  <c r="M908" i="17" s="1"/>
  <c r="L909" i="17" a="1"/>
  <c r="M909" i="17" s="1"/>
  <c r="L910" i="17" a="1"/>
  <c r="M910" i="17" s="1"/>
  <c r="L911" i="17" a="1"/>
  <c r="M911" i="17" s="1"/>
  <c r="L912" i="17" a="1"/>
  <c r="M912" i="17" s="1"/>
  <c r="L913" i="17" a="1"/>
  <c r="M913" i="17" s="1"/>
  <c r="L914" i="17" a="1"/>
  <c r="M914" i="17" s="1"/>
  <c r="L915" i="17" a="1"/>
  <c r="M915" i="17" s="1"/>
  <c r="L916" i="17" a="1"/>
  <c r="M916" i="17" s="1"/>
  <c r="L917" i="17" a="1"/>
  <c r="M917" i="17" s="1"/>
  <c r="L918" i="17" a="1"/>
  <c r="M918" i="17" s="1"/>
  <c r="L919" i="17" a="1"/>
  <c r="M919" i="17" s="1"/>
  <c r="L920" i="17" a="1"/>
  <c r="M920" i="17" s="1"/>
  <c r="L921" i="17" a="1"/>
  <c r="M921" i="17" s="1"/>
  <c r="L922" i="17" a="1"/>
  <c r="M922" i="17" s="1"/>
  <c r="L923" i="17" a="1"/>
  <c r="M923" i="17" s="1"/>
  <c r="L924" i="17" a="1"/>
  <c r="M924" i="17" s="1"/>
  <c r="L925" i="17" a="1"/>
  <c r="M925" i="17" s="1"/>
  <c r="L926" i="17" a="1"/>
  <c r="M926" i="17" s="1"/>
  <c r="L927" i="17" a="1"/>
  <c r="M927" i="17" s="1"/>
  <c r="L928" i="17" a="1"/>
  <c r="M928" i="17" s="1"/>
  <c r="L929" i="17" a="1"/>
  <c r="M929" i="17" s="1"/>
  <c r="L930" i="17" a="1"/>
  <c r="M930" i="17" s="1"/>
  <c r="L931" i="17" a="1"/>
  <c r="M931" i="17" s="1"/>
  <c r="L932" i="17" a="1"/>
  <c r="M932" i="17" s="1"/>
  <c r="L933" i="17" a="1"/>
  <c r="M933" i="17" s="1"/>
  <c r="L934" i="17" a="1"/>
  <c r="M934" i="17" s="1"/>
  <c r="L935" i="17" a="1"/>
  <c r="M935" i="17" s="1"/>
  <c r="L936" i="17" a="1"/>
  <c r="M936" i="17" s="1"/>
  <c r="L937" i="17" a="1"/>
  <c r="M937" i="17" s="1"/>
  <c r="L938" i="17" a="1"/>
  <c r="M938" i="17" s="1"/>
  <c r="L939" i="17" a="1"/>
  <c r="M939" i="17" s="1"/>
  <c r="L940" i="17" a="1"/>
  <c r="M940" i="17" s="1"/>
  <c r="L941" i="17" a="1"/>
  <c r="M941" i="17" s="1"/>
  <c r="L942" i="17" a="1"/>
  <c r="M942" i="17" s="1"/>
  <c r="L943" i="17" a="1"/>
  <c r="M943" i="17" s="1"/>
  <c r="L944" i="17" a="1"/>
  <c r="M944" i="17" s="1"/>
  <c r="L945" i="17" a="1"/>
  <c r="M945" i="17" s="1"/>
  <c r="L946" i="17" a="1"/>
  <c r="M946" i="17" s="1"/>
  <c r="L947" i="17" a="1"/>
  <c r="M947" i="17" s="1"/>
  <c r="L948" i="17" a="1"/>
  <c r="M948" i="17" s="1"/>
  <c r="L949" i="17" a="1"/>
  <c r="M949" i="17" s="1"/>
  <c r="L950" i="17" a="1"/>
  <c r="M950" i="17" s="1"/>
  <c r="L951" i="17" a="1"/>
  <c r="M951" i="17" s="1"/>
  <c r="L952" i="17" a="1"/>
  <c r="M952" i="17" s="1"/>
  <c r="L953" i="17" a="1"/>
  <c r="M953" i="17" s="1"/>
  <c r="L954" i="17" a="1"/>
  <c r="M954" i="17" s="1"/>
  <c r="L955" i="17" a="1"/>
  <c r="M955" i="17" s="1"/>
  <c r="L956" i="17" a="1"/>
  <c r="M956" i="17" s="1"/>
  <c r="L958" i="17" a="1"/>
  <c r="M958" i="17" s="1"/>
  <c r="L959" i="17" a="1"/>
  <c r="M959" i="17" s="1"/>
  <c r="L960" i="17" a="1"/>
  <c r="M960" i="17" s="1"/>
  <c r="L961" i="17" a="1"/>
  <c r="M961" i="17" s="1"/>
  <c r="L962" i="17" a="1"/>
  <c r="M962" i="17" s="1"/>
  <c r="L963" i="17" a="1"/>
  <c r="M963" i="17" s="1"/>
  <c r="L964" i="17" a="1"/>
  <c r="M964" i="17" s="1"/>
  <c r="L965" i="17" a="1"/>
  <c r="M965" i="17" s="1"/>
  <c r="L966" i="17" a="1"/>
  <c r="M966" i="17" s="1"/>
  <c r="L967" i="17" a="1"/>
  <c r="M967" i="17" s="1"/>
  <c r="L968" i="17" a="1"/>
  <c r="M968" i="17" s="1"/>
  <c r="L969" i="17" a="1"/>
  <c r="M969" i="17" s="1"/>
  <c r="L970" i="17" a="1"/>
  <c r="M970" i="17" s="1"/>
  <c r="L971" i="17" a="1"/>
  <c r="M971" i="17" s="1"/>
  <c r="L972" i="17" a="1"/>
  <c r="M972" i="17" s="1"/>
  <c r="L974" i="17" a="1"/>
  <c r="M974" i="17" s="1"/>
  <c r="L975" i="17" a="1"/>
  <c r="M975" i="17" s="1"/>
  <c r="L976" i="17" a="1"/>
  <c r="M976" i="17" s="1"/>
  <c r="O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T2" i="17"/>
  <c r="T3" i="17"/>
  <c r="T4" i="17"/>
  <c r="T5" i="17"/>
  <c r="T6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3" i="17"/>
  <c r="T104" i="17"/>
  <c r="T105" i="17"/>
  <c r="T106" i="17"/>
  <c r="T107" i="17"/>
  <c r="T108" i="17"/>
  <c r="T109" i="17"/>
  <c r="T110" i="17"/>
  <c r="T111" i="17"/>
  <c r="T112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6" i="17"/>
  <c r="T137" i="17"/>
  <c r="T138" i="17"/>
  <c r="T139" i="17"/>
  <c r="T140" i="17"/>
  <c r="T141" i="17"/>
  <c r="T142" i="17"/>
  <c r="T143" i="17"/>
  <c r="T144" i="17"/>
  <c r="T145" i="17"/>
  <c r="T146" i="17"/>
  <c r="T147" i="17"/>
  <c r="T148" i="17"/>
  <c r="T149" i="17"/>
  <c r="T150" i="17"/>
  <c r="T151" i="17"/>
  <c r="T152" i="17"/>
  <c r="T153" i="17"/>
  <c r="T154" i="17"/>
  <c r="T155" i="17"/>
  <c r="T156" i="17"/>
  <c r="T157" i="17"/>
  <c r="T158" i="17"/>
  <c r="T159" i="17"/>
  <c r="T160" i="17"/>
  <c r="T161" i="17"/>
  <c r="T162" i="17"/>
  <c r="T163" i="17"/>
  <c r="T164" i="17"/>
  <c r="T165" i="17"/>
  <c r="T166" i="17"/>
  <c r="T167" i="17"/>
  <c r="T168" i="17"/>
  <c r="T169" i="17"/>
  <c r="T170" i="17"/>
  <c r="T171" i="17"/>
  <c r="T172" i="17"/>
  <c r="T173" i="17"/>
  <c r="T174" i="17"/>
  <c r="T175" i="17"/>
  <c r="T176" i="17"/>
  <c r="T177" i="17"/>
  <c r="T178" i="17"/>
  <c r="T179" i="17"/>
  <c r="T180" i="17"/>
  <c r="T181" i="17"/>
  <c r="T182" i="17"/>
  <c r="T183" i="17"/>
  <c r="T184" i="17"/>
  <c r="T185" i="17"/>
  <c r="T186" i="17"/>
  <c r="T187" i="17"/>
  <c r="T188" i="17"/>
  <c r="T189" i="17"/>
  <c r="T190" i="17"/>
  <c r="T191" i="17"/>
  <c r="T192" i="17"/>
  <c r="T193" i="17"/>
  <c r="T194" i="17"/>
  <c r="T195" i="17"/>
  <c r="T196" i="17"/>
  <c r="T197" i="17"/>
  <c r="T198" i="17"/>
  <c r="T199" i="17"/>
  <c r="T200" i="17"/>
  <c r="T201" i="17"/>
  <c r="T202" i="17"/>
  <c r="T203" i="17"/>
  <c r="T204" i="17"/>
  <c r="T205" i="17"/>
  <c r="T206" i="17"/>
  <c r="T207" i="17"/>
  <c r="T208" i="17"/>
  <c r="T209" i="17"/>
  <c r="T210" i="17"/>
  <c r="T211" i="17"/>
  <c r="T212" i="17"/>
  <c r="T213" i="17"/>
  <c r="T214" i="17"/>
  <c r="T215" i="17"/>
  <c r="T216" i="17"/>
  <c r="T217" i="17"/>
  <c r="T218" i="17"/>
  <c r="T219" i="17"/>
  <c r="T220" i="17"/>
  <c r="T221" i="17"/>
  <c r="T222" i="17"/>
  <c r="T223" i="17"/>
  <c r="T224" i="17"/>
  <c r="T225" i="17"/>
  <c r="T226" i="17"/>
  <c r="T227" i="17"/>
  <c r="T228" i="17"/>
  <c r="T229" i="17"/>
  <c r="T230" i="17"/>
  <c r="T231" i="17"/>
  <c r="T232" i="17"/>
  <c r="T233" i="17"/>
  <c r="T234" i="17"/>
  <c r="T235" i="17"/>
  <c r="T236" i="17"/>
  <c r="T237" i="17"/>
  <c r="T238" i="17"/>
  <c r="T239" i="17"/>
  <c r="T240" i="17"/>
  <c r="T241" i="17"/>
  <c r="T242" i="17"/>
  <c r="T243" i="17"/>
  <c r="T244" i="17"/>
  <c r="T245" i="17"/>
  <c r="T246" i="17"/>
  <c r="T247" i="17"/>
  <c r="T248" i="17"/>
  <c r="T249" i="17"/>
  <c r="T250" i="17"/>
  <c r="T251" i="17"/>
  <c r="T252" i="17"/>
  <c r="T253" i="17"/>
  <c r="T254" i="17"/>
  <c r="T255" i="17"/>
  <c r="T256" i="17"/>
  <c r="T257" i="17"/>
  <c r="T258" i="17"/>
  <c r="T259" i="17"/>
  <c r="T260" i="17"/>
  <c r="T261" i="17"/>
  <c r="T262" i="17"/>
  <c r="T263" i="17"/>
  <c r="T264" i="17"/>
  <c r="T265" i="17"/>
  <c r="T266" i="17"/>
  <c r="T267" i="17"/>
  <c r="T268" i="17"/>
  <c r="T269" i="17"/>
  <c r="T270" i="17"/>
  <c r="T271" i="17"/>
  <c r="T272" i="17"/>
  <c r="T273" i="17"/>
  <c r="T274" i="17"/>
  <c r="T275" i="17"/>
  <c r="T276" i="17"/>
  <c r="T277" i="17"/>
  <c r="T278" i="17"/>
  <c r="T279" i="17"/>
  <c r="T280" i="17"/>
  <c r="T281" i="17"/>
  <c r="T282" i="17"/>
  <c r="T283" i="17"/>
  <c r="T284" i="17"/>
  <c r="T286" i="17"/>
  <c r="T287" i="17"/>
  <c r="T288" i="17"/>
  <c r="T289" i="17"/>
  <c r="T290" i="17"/>
  <c r="T291" i="17"/>
  <c r="T292" i="17"/>
  <c r="T293" i="17"/>
  <c r="T294" i="17"/>
  <c r="T295" i="17"/>
  <c r="T296" i="17"/>
  <c r="T297" i="17"/>
  <c r="T298" i="17"/>
  <c r="T299" i="17"/>
  <c r="T300" i="17"/>
  <c r="T301" i="17"/>
  <c r="T302" i="17"/>
  <c r="T303" i="17"/>
  <c r="T304" i="17"/>
  <c r="T305" i="17"/>
  <c r="T306" i="17"/>
  <c r="T307" i="17"/>
  <c r="T308" i="17"/>
  <c r="T309" i="17"/>
  <c r="T310" i="17"/>
  <c r="T311" i="17"/>
  <c r="T312" i="17"/>
  <c r="T313" i="17"/>
  <c r="T314" i="17"/>
  <c r="T315" i="17"/>
  <c r="T316" i="17"/>
  <c r="T317" i="17"/>
  <c r="T318" i="17"/>
  <c r="T319" i="17"/>
  <c r="T320" i="17"/>
  <c r="T321" i="17"/>
  <c r="T322" i="17"/>
  <c r="T323" i="17"/>
  <c r="T324" i="17"/>
  <c r="T325" i="17"/>
  <c r="T326" i="17"/>
  <c r="T327" i="17"/>
  <c r="T328" i="17"/>
  <c r="T329" i="17"/>
  <c r="T330" i="17"/>
  <c r="T331" i="17"/>
  <c r="T332" i="17"/>
  <c r="T333" i="17"/>
  <c r="T334" i="17"/>
  <c r="T335" i="17"/>
  <c r="T336" i="17"/>
  <c r="T337" i="17"/>
  <c r="T338" i="17"/>
  <c r="T339" i="17"/>
  <c r="T340" i="17"/>
  <c r="T341" i="17"/>
  <c r="T342" i="17"/>
  <c r="T343" i="17"/>
  <c r="T344" i="17"/>
  <c r="T345" i="17"/>
  <c r="T346" i="17"/>
  <c r="T347" i="17"/>
  <c r="T348" i="17"/>
  <c r="T349" i="17"/>
  <c r="T350" i="17"/>
  <c r="T351" i="17"/>
  <c r="T352" i="17"/>
  <c r="T353" i="17"/>
  <c r="T354" i="17"/>
  <c r="T355" i="17"/>
  <c r="T356" i="17"/>
  <c r="T357" i="17"/>
  <c r="T358" i="17"/>
  <c r="T359" i="17"/>
  <c r="T360" i="17"/>
  <c r="T361" i="17"/>
  <c r="T362" i="17"/>
  <c r="T363" i="17"/>
  <c r="T364" i="17"/>
  <c r="T365" i="17"/>
  <c r="T366" i="17"/>
  <c r="T367" i="17"/>
  <c r="T368" i="17"/>
  <c r="T369" i="17"/>
  <c r="T370" i="17"/>
  <c r="T371" i="17"/>
  <c r="T372" i="17"/>
  <c r="T373" i="17"/>
  <c r="T374" i="17"/>
  <c r="T375" i="17"/>
  <c r="T376" i="17"/>
  <c r="T377" i="17"/>
  <c r="T378" i="17"/>
  <c r="T379" i="17"/>
  <c r="T380" i="17"/>
  <c r="T381" i="17"/>
  <c r="T382" i="17"/>
  <c r="T383" i="17"/>
  <c r="T384" i="17"/>
  <c r="T385" i="17"/>
  <c r="T386" i="17"/>
  <c r="T387" i="17"/>
  <c r="T388" i="17"/>
  <c r="T389" i="17"/>
  <c r="T390" i="17"/>
  <c r="T391" i="17"/>
  <c r="T392" i="17"/>
  <c r="T393" i="17"/>
  <c r="T394" i="17"/>
  <c r="T395" i="17"/>
  <c r="T396" i="17"/>
  <c r="T397" i="17"/>
  <c r="T398" i="17"/>
  <c r="T399" i="17"/>
  <c r="T400" i="17"/>
  <c r="T401" i="17"/>
  <c r="T402" i="17"/>
  <c r="T403" i="17"/>
  <c r="T404" i="17"/>
  <c r="T405" i="17"/>
  <c r="T407" i="17"/>
  <c r="T408" i="17"/>
  <c r="T409" i="17"/>
  <c r="T410" i="17"/>
  <c r="T411" i="17"/>
  <c r="T412" i="17"/>
  <c r="T413" i="17"/>
  <c r="T414" i="17"/>
  <c r="T415" i="17"/>
  <c r="T416" i="17"/>
  <c r="T417" i="17"/>
  <c r="T418" i="17"/>
  <c r="T419" i="17"/>
  <c r="T420" i="17"/>
  <c r="T421" i="17"/>
  <c r="T422" i="17"/>
  <c r="T423" i="17"/>
  <c r="T424" i="17"/>
  <c r="T425" i="17"/>
  <c r="T426" i="17"/>
  <c r="T427" i="17"/>
  <c r="T428" i="17"/>
  <c r="T429" i="17"/>
  <c r="T430" i="17"/>
  <c r="T431" i="17"/>
  <c r="T432" i="17"/>
  <c r="T433" i="17"/>
  <c r="T434" i="17"/>
  <c r="T435" i="17"/>
  <c r="T436" i="17"/>
  <c r="T437" i="17"/>
  <c r="T438" i="17"/>
  <c r="T439" i="17"/>
  <c r="T440" i="17"/>
  <c r="T441" i="17"/>
  <c r="T442" i="17"/>
  <c r="T443" i="17"/>
  <c r="T444" i="17"/>
  <c r="T445" i="17"/>
  <c r="T446" i="17"/>
  <c r="T447" i="17"/>
  <c r="T448" i="17"/>
  <c r="T449" i="17"/>
  <c r="T450" i="17"/>
  <c r="T451" i="17"/>
  <c r="T452" i="17"/>
  <c r="T504" i="17"/>
  <c r="T528" i="17"/>
  <c r="T539" i="17"/>
  <c r="T540" i="17"/>
  <c r="T541" i="17"/>
  <c r="T542" i="17"/>
  <c r="T543" i="17"/>
  <c r="T544" i="17"/>
  <c r="T546" i="17"/>
  <c r="T547" i="17"/>
  <c r="T550" i="17"/>
  <c r="T551" i="17"/>
  <c r="T553" i="17"/>
  <c r="T555" i="17"/>
  <c r="T557" i="17"/>
  <c r="T561" i="17"/>
  <c r="T562" i="17"/>
  <c r="T563" i="17"/>
  <c r="T564" i="17"/>
  <c r="T565" i="17"/>
  <c r="T566" i="17"/>
  <c r="T567" i="17"/>
  <c r="T568" i="17"/>
  <c r="T569" i="17"/>
  <c r="T570" i="17"/>
  <c r="T571" i="17"/>
  <c r="T572" i="17"/>
  <c r="T573" i="17"/>
  <c r="T574" i="17"/>
  <c r="T575" i="17"/>
  <c r="T576" i="17"/>
  <c r="T577" i="17"/>
  <c r="T578" i="17"/>
  <c r="T579" i="17"/>
  <c r="T580" i="17"/>
  <c r="T581" i="17"/>
  <c r="T582" i="17"/>
  <c r="T583" i="17"/>
  <c r="T584" i="17"/>
  <c r="T585" i="17"/>
  <c r="T586" i="17"/>
  <c r="T587" i="17"/>
  <c r="T588" i="17"/>
  <c r="T589" i="17"/>
  <c r="T590" i="17"/>
  <c r="T591" i="17"/>
  <c r="T592" i="17"/>
  <c r="T593" i="17"/>
  <c r="T594" i="17"/>
  <c r="T595" i="17"/>
  <c r="T596" i="17"/>
  <c r="T597" i="17"/>
  <c r="T598" i="17"/>
  <c r="T599" i="17"/>
  <c r="T600" i="17"/>
  <c r="T601" i="17"/>
  <c r="T602" i="17"/>
  <c r="T603" i="17"/>
  <c r="T604" i="17"/>
  <c r="T605" i="17"/>
  <c r="T606" i="17"/>
  <c r="T607" i="17"/>
  <c r="T608" i="17"/>
  <c r="T609" i="17"/>
  <c r="T610" i="17"/>
  <c r="T611" i="17"/>
  <c r="T612" i="17"/>
  <c r="T613" i="17"/>
  <c r="T614" i="17"/>
  <c r="T615" i="17"/>
  <c r="T616" i="17"/>
  <c r="T617" i="17"/>
  <c r="T618" i="17"/>
  <c r="T619" i="17"/>
  <c r="T620" i="17"/>
  <c r="T621" i="17"/>
  <c r="T623" i="17"/>
  <c r="T624" i="17"/>
  <c r="T625" i="17"/>
  <c r="T626" i="17"/>
  <c r="T627" i="17"/>
  <c r="T628" i="17"/>
  <c r="T631" i="17"/>
  <c r="T632" i="17"/>
  <c r="T633" i="17"/>
  <c r="T634" i="17"/>
  <c r="T635" i="17"/>
  <c r="T636" i="17"/>
  <c r="T637" i="17"/>
  <c r="T638" i="17"/>
  <c r="T639" i="17"/>
  <c r="T640" i="17"/>
  <c r="T641" i="17"/>
  <c r="T642" i="17"/>
  <c r="T643" i="17"/>
  <c r="T644" i="17"/>
  <c r="T645" i="17"/>
  <c r="T646" i="17"/>
  <c r="T647" i="17"/>
  <c r="T648" i="17"/>
  <c r="T649" i="17"/>
  <c r="T650" i="17"/>
  <c r="T651" i="17"/>
  <c r="T652" i="17"/>
  <c r="T653" i="17"/>
  <c r="T654" i="17"/>
  <c r="T655" i="17"/>
  <c r="T656" i="17"/>
  <c r="T657" i="17"/>
  <c r="T658" i="17"/>
  <c r="T659" i="17"/>
  <c r="T660" i="17"/>
  <c r="T661" i="17"/>
  <c r="T662" i="17"/>
  <c r="T663" i="17"/>
  <c r="T664" i="17"/>
  <c r="T665" i="17"/>
  <c r="T666" i="17"/>
  <c r="T667" i="17"/>
  <c r="T668" i="17"/>
  <c r="T669" i="17"/>
  <c r="T670" i="17"/>
  <c r="T671" i="17"/>
  <c r="T672" i="17"/>
  <c r="T673" i="17"/>
  <c r="T674" i="17"/>
  <c r="T675" i="17"/>
  <c r="T676" i="17"/>
  <c r="T677" i="17"/>
  <c r="T678" i="17"/>
  <c r="T679" i="17"/>
  <c r="T680" i="17"/>
  <c r="T681" i="17"/>
  <c r="T682" i="17"/>
  <c r="T683" i="17"/>
  <c r="T684" i="17"/>
  <c r="T685" i="17"/>
  <c r="T686" i="17"/>
  <c r="T687" i="17"/>
  <c r="T688" i="17"/>
  <c r="T689" i="17"/>
  <c r="T690" i="17"/>
  <c r="T691" i="17"/>
  <c r="T692" i="17"/>
  <c r="T693" i="17"/>
  <c r="T694" i="17"/>
  <c r="T695" i="17"/>
  <c r="T696" i="17"/>
  <c r="T697" i="17"/>
  <c r="T698" i="17"/>
  <c r="T699" i="17"/>
  <c r="T700" i="17"/>
  <c r="T701" i="17"/>
  <c r="T702" i="17"/>
  <c r="T703" i="17"/>
  <c r="T704" i="17"/>
  <c r="T705" i="17"/>
  <c r="T706" i="17"/>
  <c r="T707" i="17"/>
  <c r="T708" i="17"/>
  <c r="T709" i="17"/>
  <c r="T710" i="17"/>
  <c r="T711" i="17"/>
  <c r="T712" i="17"/>
  <c r="T713" i="17"/>
  <c r="T714" i="17"/>
  <c r="T715" i="17"/>
  <c r="T716" i="17"/>
  <c r="T717" i="17"/>
  <c r="T718" i="17"/>
  <c r="T719" i="17"/>
  <c r="T720" i="17"/>
  <c r="T721" i="17"/>
  <c r="T722" i="17"/>
  <c r="T723" i="17"/>
  <c r="T724" i="17"/>
  <c r="T725" i="17"/>
  <c r="T726" i="17"/>
  <c r="T727" i="17"/>
  <c r="T728" i="17"/>
  <c r="T729" i="17"/>
  <c r="T730" i="17"/>
  <c r="T731" i="17"/>
  <c r="T732" i="17"/>
  <c r="T733" i="17"/>
  <c r="T734" i="17"/>
  <c r="T735" i="17"/>
  <c r="T736" i="17"/>
  <c r="T737" i="17"/>
  <c r="T738" i="17"/>
  <c r="T739" i="17"/>
  <c r="T740" i="17"/>
  <c r="T741" i="17"/>
  <c r="T742" i="17"/>
  <c r="T743" i="17"/>
  <c r="T744" i="17"/>
  <c r="T745" i="17"/>
  <c r="T746" i="17"/>
  <c r="T747" i="17"/>
  <c r="T748" i="17"/>
  <c r="T749" i="17"/>
  <c r="T750" i="17"/>
  <c r="T751" i="17"/>
  <c r="T752" i="17"/>
  <c r="T753" i="17"/>
  <c r="T755" i="17"/>
  <c r="T756" i="17"/>
  <c r="T757" i="17"/>
  <c r="T758" i="17"/>
  <c r="T759" i="17"/>
  <c r="T760" i="17"/>
  <c r="T761" i="17"/>
  <c r="T762" i="17"/>
  <c r="T763" i="17"/>
  <c r="T764" i="17"/>
  <c r="T765" i="17"/>
  <c r="T766" i="17"/>
  <c r="T767" i="17"/>
  <c r="T768" i="17"/>
  <c r="T769" i="17"/>
  <c r="T770" i="17"/>
  <c r="T771" i="17"/>
  <c r="T772" i="17"/>
  <c r="T773" i="17"/>
  <c r="T774" i="17"/>
  <c r="T775" i="17"/>
  <c r="T776" i="17"/>
  <c r="T777" i="17"/>
  <c r="T778" i="17"/>
  <c r="T779" i="17"/>
  <c r="T780" i="17"/>
  <c r="T781" i="17"/>
  <c r="T782" i="17"/>
  <c r="T783" i="17"/>
  <c r="T784" i="17"/>
  <c r="T785" i="17"/>
  <c r="T786" i="17"/>
  <c r="T787" i="17"/>
  <c r="T788" i="17"/>
  <c r="T789" i="17"/>
  <c r="T790" i="17"/>
  <c r="T791" i="17"/>
  <c r="T793" i="17"/>
  <c r="T794" i="17"/>
  <c r="T795" i="17"/>
  <c r="T796" i="17"/>
  <c r="T797" i="17"/>
  <c r="T798" i="17"/>
  <c r="T799" i="17"/>
  <c r="T800" i="17"/>
  <c r="T801" i="17"/>
  <c r="T802" i="17"/>
  <c r="T803" i="17"/>
  <c r="T804" i="17"/>
  <c r="T805" i="17"/>
  <c r="T806" i="17"/>
  <c r="T807" i="17"/>
  <c r="T808" i="17"/>
  <c r="T809" i="17"/>
  <c r="T810" i="17"/>
  <c r="T811" i="17"/>
  <c r="T812" i="17"/>
  <c r="T813" i="17"/>
  <c r="T814" i="17"/>
  <c r="T815" i="17"/>
  <c r="T818" i="17"/>
  <c r="T819" i="17"/>
  <c r="T820" i="17"/>
  <c r="T821" i="17"/>
  <c r="T823" i="17"/>
  <c r="T824" i="17"/>
  <c r="T825" i="17"/>
  <c r="T826" i="17"/>
  <c r="T827" i="17"/>
  <c r="T828" i="17"/>
  <c r="T829" i="17"/>
  <c r="T830" i="17"/>
  <c r="T831" i="17"/>
  <c r="T832" i="17"/>
  <c r="T834" i="17"/>
  <c r="T835" i="17"/>
  <c r="T836" i="17"/>
  <c r="T837" i="17"/>
  <c r="T838" i="17"/>
  <c r="T839" i="17"/>
  <c r="T840" i="17"/>
  <c r="T841" i="17"/>
  <c r="T842" i="17"/>
  <c r="T843" i="17"/>
  <c r="T844" i="17"/>
  <c r="T845" i="17"/>
  <c r="T846" i="17"/>
  <c r="T847" i="17"/>
  <c r="T848" i="17"/>
  <c r="T849" i="17"/>
  <c r="T850" i="17"/>
  <c r="T851" i="17"/>
  <c r="T852" i="17"/>
  <c r="T853" i="17"/>
  <c r="T854" i="17"/>
  <c r="T855" i="17"/>
  <c r="T856" i="17"/>
  <c r="T857" i="17"/>
  <c r="T858" i="17"/>
  <c r="T859" i="17"/>
  <c r="T860" i="17"/>
  <c r="T861" i="17"/>
  <c r="T862" i="17"/>
  <c r="T863" i="17"/>
  <c r="T864" i="17"/>
  <c r="T865" i="17"/>
  <c r="T866" i="17"/>
  <c r="T867" i="17"/>
  <c r="T868" i="17"/>
  <c r="T869" i="17"/>
  <c r="T870" i="17"/>
  <c r="T871" i="17"/>
  <c r="T873" i="17"/>
  <c r="T878" i="17"/>
  <c r="T879" i="17"/>
  <c r="T881" i="17"/>
  <c r="T882" i="17"/>
  <c r="T883" i="17"/>
  <c r="T884" i="17"/>
  <c r="T885" i="17"/>
  <c r="T886" i="17"/>
  <c r="T887" i="17"/>
  <c r="T888" i="17"/>
  <c r="T889" i="17"/>
  <c r="T890" i="17"/>
  <c r="T891" i="17"/>
  <c r="T893" i="17"/>
  <c r="T895" i="17"/>
  <c r="T896" i="17"/>
  <c r="T897" i="17"/>
  <c r="T900" i="17"/>
  <c r="T901" i="17"/>
  <c r="T903" i="17"/>
  <c r="T904" i="17"/>
  <c r="T906" i="17"/>
  <c r="T907" i="17"/>
  <c r="T908" i="17"/>
  <c r="T909" i="17"/>
  <c r="T910" i="17"/>
  <c r="T911" i="17"/>
  <c r="T912" i="17"/>
  <c r="T913" i="17"/>
  <c r="T914" i="17"/>
  <c r="T915" i="17"/>
  <c r="T916" i="17"/>
  <c r="T917" i="17"/>
  <c r="T918" i="17"/>
  <c r="T919" i="17"/>
  <c r="T920" i="17"/>
  <c r="T921" i="17"/>
  <c r="T922" i="17"/>
  <c r="T923" i="17"/>
  <c r="T924" i="17"/>
  <c r="T925" i="17"/>
  <c r="T926" i="17"/>
  <c r="T927" i="17"/>
  <c r="T928" i="17"/>
  <c r="T929" i="17"/>
  <c r="T930" i="17"/>
  <c r="T931" i="17"/>
  <c r="T932" i="17"/>
  <c r="T933" i="17"/>
  <c r="T935" i="17"/>
  <c r="T936" i="17"/>
  <c r="T937" i="17"/>
  <c r="T938" i="17"/>
  <c r="T939" i="17"/>
  <c r="T940" i="17"/>
  <c r="T941" i="17"/>
  <c r="T942" i="17"/>
  <c r="T943" i="17"/>
  <c r="T944" i="17"/>
  <c r="T945" i="17"/>
  <c r="T946" i="17"/>
  <c r="T947" i="17"/>
  <c r="T948" i="17"/>
  <c r="T949" i="17"/>
  <c r="T950" i="17"/>
  <c r="T951" i="17"/>
  <c r="T952" i="17"/>
  <c r="T953" i="17"/>
  <c r="T954" i="17"/>
  <c r="T955" i="17"/>
  <c r="T956" i="17"/>
  <c r="T957" i="17"/>
  <c r="T958" i="17"/>
  <c r="T959" i="17"/>
  <c r="T960" i="17"/>
  <c r="T961" i="17"/>
  <c r="T962" i="17"/>
  <c r="T963" i="17"/>
  <c r="T964" i="17"/>
  <c r="T965" i="17"/>
  <c r="T966" i="17"/>
  <c r="T967" i="17"/>
  <c r="T968" i="17"/>
  <c r="T969" i="17"/>
  <c r="T970" i="17"/>
  <c r="T971" i="17"/>
  <c r="Q977" i="14"/>
  <c r="P977" i="14"/>
  <c r="O977" i="14"/>
  <c r="N977" i="14"/>
  <c r="L977" i="14"/>
  <c r="K977" i="14"/>
  <c r="J977" i="14"/>
  <c r="I977" i="14"/>
  <c r="H977" i="14" s="1"/>
  <c r="B977" i="14"/>
  <c r="AF976" i="1"/>
  <c r="AG976" i="1" a="1"/>
  <c r="AJ976" i="1" s="1"/>
  <c r="AH976" i="1" a="1"/>
  <c r="AI976" i="1" a="1"/>
  <c r="P976" i="17"/>
  <c r="T976" i="17" s="1"/>
  <c r="G976" i="17" a="1"/>
  <c r="F976" i="17"/>
  <c r="W976" i="17" a="1"/>
  <c r="B976" i="14"/>
  <c r="I976" i="14"/>
  <c r="G976" i="19" s="1"/>
  <c r="J976" i="14"/>
  <c r="K976" i="14"/>
  <c r="L976" i="14"/>
  <c r="N976" i="14"/>
  <c r="O976" i="14"/>
  <c r="P976" i="14"/>
  <c r="Q976" i="14"/>
  <c r="S975" i="17"/>
  <c r="T975" i="17" s="1"/>
  <c r="AF975" i="1"/>
  <c r="AG975" i="1" a="1"/>
  <c r="AJ975" i="1" s="1"/>
  <c r="AH975" i="1" a="1"/>
  <c r="AI975" i="1" a="1"/>
  <c r="F975" i="17"/>
  <c r="G975" i="17" a="1"/>
  <c r="W975" i="17" a="1"/>
  <c r="B975" i="14"/>
  <c r="I975" i="14"/>
  <c r="G975" i="19" s="1"/>
  <c r="J975" i="14"/>
  <c r="K975" i="14"/>
  <c r="L975" i="14"/>
  <c r="N975" i="14"/>
  <c r="O975" i="14"/>
  <c r="P975" i="14"/>
  <c r="Q975" i="14"/>
  <c r="AF974" i="1"/>
  <c r="AG974" i="1" a="1"/>
  <c r="AH974" i="1" a="1"/>
  <c r="AI974" i="1" a="1"/>
  <c r="P974" i="17"/>
  <c r="T974" i="17" s="1"/>
  <c r="I974" i="17"/>
  <c r="F974" i="17"/>
  <c r="G974" i="17" a="1"/>
  <c r="W974" i="17" a="1"/>
  <c r="B974" i="14"/>
  <c r="I974" i="14"/>
  <c r="J974" i="14"/>
  <c r="K974" i="14"/>
  <c r="L974" i="14"/>
  <c r="N974" i="14"/>
  <c r="O974" i="14"/>
  <c r="P974" i="14"/>
  <c r="Q974" i="14"/>
  <c r="AF973" i="1"/>
  <c r="AG973" i="1" a="1"/>
  <c r="AH973" i="1" a="1"/>
  <c r="AI973" i="1" a="1"/>
  <c r="S973" i="17"/>
  <c r="T973" i="17" s="1"/>
  <c r="R973" i="17"/>
  <c r="L973" i="17" s="1" a="1"/>
  <c r="M973" i="17" s="1"/>
  <c r="W973" i="17" a="1"/>
  <c r="F973" i="17"/>
  <c r="G973" i="17" a="1"/>
  <c r="B973" i="14"/>
  <c r="I973" i="14"/>
  <c r="J973" i="14"/>
  <c r="K973" i="14"/>
  <c r="L973" i="14"/>
  <c r="N973" i="14"/>
  <c r="O973" i="14"/>
  <c r="P973" i="14"/>
  <c r="Q973" i="14"/>
  <c r="W2" i="17" a="1"/>
  <c r="W3" i="17" a="1"/>
  <c r="W4" i="17" a="1"/>
  <c r="W5" i="17" a="1"/>
  <c r="W6" i="17" a="1"/>
  <c r="W7" i="17" a="1"/>
  <c r="W8" i="17" a="1"/>
  <c r="W9" i="17" a="1"/>
  <c r="W10" i="17" a="1"/>
  <c r="W11" i="17" a="1"/>
  <c r="W12" i="17" a="1"/>
  <c r="W13" i="17" a="1"/>
  <c r="W14" i="17" a="1"/>
  <c r="W15" i="17" a="1"/>
  <c r="W16" i="17" a="1"/>
  <c r="W17" i="17" a="1"/>
  <c r="W18" i="17" a="1"/>
  <c r="W19" i="17" a="1"/>
  <c r="W20" i="17" a="1"/>
  <c r="W21" i="17" a="1"/>
  <c r="W22" i="17" a="1"/>
  <c r="W23" i="17" a="1"/>
  <c r="W24" i="17" a="1"/>
  <c r="W25" i="17" a="1"/>
  <c r="W26" i="17" a="1"/>
  <c r="W27" i="17" a="1"/>
  <c r="W28" i="17" a="1"/>
  <c r="W29" i="17" a="1"/>
  <c r="W30" i="17" a="1"/>
  <c r="W31" i="17" a="1"/>
  <c r="W32" i="17" a="1"/>
  <c r="W33" i="17" a="1"/>
  <c r="W34" i="17" a="1"/>
  <c r="W35" i="17" a="1"/>
  <c r="W36" i="17" a="1"/>
  <c r="W37" i="17" a="1"/>
  <c r="W38" i="17" a="1"/>
  <c r="W39" i="17" a="1"/>
  <c r="W40" i="17" a="1"/>
  <c r="W41" i="17" a="1"/>
  <c r="W42" i="17" a="1"/>
  <c r="W43" i="17" a="1"/>
  <c r="W44" i="17" a="1"/>
  <c r="W45" i="17" a="1"/>
  <c r="W46" i="17" a="1"/>
  <c r="W47" i="17" a="1"/>
  <c r="W48" i="17" a="1"/>
  <c r="W49" i="17" a="1"/>
  <c r="W50" i="17" a="1"/>
  <c r="W51" i="17" a="1"/>
  <c r="W52" i="17" a="1"/>
  <c r="W53" i="17" a="1"/>
  <c r="W54" i="17" a="1"/>
  <c r="W55" i="17" a="1"/>
  <c r="W56" i="17" a="1"/>
  <c r="W57" i="17" a="1"/>
  <c r="W58" i="17" a="1"/>
  <c r="W59" i="17" a="1"/>
  <c r="W60" i="17" a="1"/>
  <c r="W61" i="17" a="1"/>
  <c r="W62" i="17" a="1"/>
  <c r="W63" i="17" a="1"/>
  <c r="W64" i="17" a="1"/>
  <c r="W65" i="17" a="1"/>
  <c r="W66" i="17" a="1"/>
  <c r="W67" i="17" a="1"/>
  <c r="W68" i="17" a="1"/>
  <c r="W69" i="17" a="1"/>
  <c r="W70" i="17" a="1"/>
  <c r="W71" i="17" a="1"/>
  <c r="W72" i="17" a="1"/>
  <c r="W73" i="17" a="1"/>
  <c r="W74" i="17" a="1"/>
  <c r="W75" i="17" a="1"/>
  <c r="W76" i="17" a="1"/>
  <c r="W77" i="17" a="1"/>
  <c r="W78" i="17" a="1"/>
  <c r="W79" i="17" a="1"/>
  <c r="W80" i="17" a="1"/>
  <c r="W81" i="17" a="1"/>
  <c r="W82" i="17" a="1"/>
  <c r="W83" i="17" a="1"/>
  <c r="W84" i="17" a="1"/>
  <c r="W85" i="17" a="1"/>
  <c r="W86" i="17" a="1"/>
  <c r="W87" i="17" a="1"/>
  <c r="W88" i="17" a="1"/>
  <c r="W89" i="17" a="1"/>
  <c r="W90" i="17" a="1"/>
  <c r="W91" i="17" a="1"/>
  <c r="W92" i="17" a="1"/>
  <c r="W93" i="17" a="1"/>
  <c r="W94" i="17" a="1"/>
  <c r="W95" i="17" a="1"/>
  <c r="W96" i="17" a="1"/>
  <c r="W97" i="17" a="1"/>
  <c r="W98" i="17" a="1"/>
  <c r="W99" i="17" a="1"/>
  <c r="W100" i="17" a="1"/>
  <c r="W101" i="17" a="1"/>
  <c r="W102" i="17" a="1"/>
  <c r="W103" i="17" a="1"/>
  <c r="W104" i="17" a="1"/>
  <c r="W105" i="17" a="1"/>
  <c r="W106" i="17" a="1"/>
  <c r="W107" i="17" a="1"/>
  <c r="W108" i="17" a="1"/>
  <c r="W109" i="17" a="1"/>
  <c r="W110" i="17" a="1"/>
  <c r="W111" i="17" a="1"/>
  <c r="W112" i="17" a="1"/>
  <c r="W113" i="17" a="1"/>
  <c r="W114" i="17" a="1"/>
  <c r="W115" i="17" a="1"/>
  <c r="W116" i="17" a="1"/>
  <c r="W117" i="17" a="1"/>
  <c r="W118" i="17" a="1"/>
  <c r="W119" i="17" a="1"/>
  <c r="W120" i="17" a="1"/>
  <c r="W121" i="17" a="1"/>
  <c r="W122" i="17" a="1"/>
  <c r="W123" i="17" a="1"/>
  <c r="W124" i="17" a="1"/>
  <c r="W125" i="17" a="1"/>
  <c r="W126" i="17" a="1"/>
  <c r="W127" i="17" a="1"/>
  <c r="W128" i="17" a="1"/>
  <c r="W129" i="17" a="1"/>
  <c r="W130" i="17" a="1"/>
  <c r="W131" i="17" a="1"/>
  <c r="W132" i="17" a="1"/>
  <c r="W133" i="17" a="1"/>
  <c r="W134" i="17" a="1"/>
  <c r="W135" i="17" a="1"/>
  <c r="W136" i="17" a="1"/>
  <c r="W137" i="17" a="1"/>
  <c r="W138" i="17" a="1"/>
  <c r="W139" i="17" a="1"/>
  <c r="W140" i="17" a="1"/>
  <c r="W141" i="17" a="1"/>
  <c r="W142" i="17" a="1"/>
  <c r="W143" i="17" a="1"/>
  <c r="W144" i="17" a="1"/>
  <c r="W145" i="17" a="1"/>
  <c r="W146" i="17" a="1"/>
  <c r="W147" i="17" a="1"/>
  <c r="W148" i="17" a="1"/>
  <c r="W149" i="17" a="1"/>
  <c r="W150" i="17" a="1"/>
  <c r="W151" i="17" a="1"/>
  <c r="W152" i="17" a="1"/>
  <c r="W153" i="17" a="1"/>
  <c r="W154" i="17" a="1"/>
  <c r="W155" i="17" a="1"/>
  <c r="W156" i="17" a="1"/>
  <c r="W157" i="17" a="1"/>
  <c r="W158" i="17" a="1"/>
  <c r="W159" i="17" a="1"/>
  <c r="W160" i="17" a="1"/>
  <c r="W161" i="17" a="1"/>
  <c r="W162" i="17" a="1"/>
  <c r="W163" i="17" a="1"/>
  <c r="W164" i="17" a="1"/>
  <c r="W165" i="17" a="1"/>
  <c r="W166" i="17" a="1"/>
  <c r="W167" i="17" a="1"/>
  <c r="W168" i="17" a="1"/>
  <c r="W169" i="17" a="1"/>
  <c r="W170" i="17" a="1"/>
  <c r="W171" i="17" a="1"/>
  <c r="W172" i="17" a="1"/>
  <c r="W173" i="17" a="1"/>
  <c r="W174" i="17" a="1"/>
  <c r="W175" i="17" a="1"/>
  <c r="W176" i="17" a="1"/>
  <c r="W177" i="17" a="1"/>
  <c r="W178" i="17" a="1"/>
  <c r="W179" i="17" a="1"/>
  <c r="W180" i="17" a="1"/>
  <c r="W181" i="17" a="1"/>
  <c r="W182" i="17" a="1"/>
  <c r="W183" i="17" a="1"/>
  <c r="W184" i="17" a="1"/>
  <c r="W185" i="17" a="1"/>
  <c r="W186" i="17" a="1"/>
  <c r="W187" i="17" a="1"/>
  <c r="W188" i="17" a="1"/>
  <c r="W189" i="17" a="1"/>
  <c r="W190" i="17" a="1"/>
  <c r="W191" i="17" a="1"/>
  <c r="W192" i="17" a="1"/>
  <c r="W193" i="17" a="1"/>
  <c r="W194" i="17" a="1"/>
  <c r="W195" i="17" a="1"/>
  <c r="W196" i="17" a="1"/>
  <c r="W197" i="17" a="1"/>
  <c r="W198" i="17" a="1"/>
  <c r="W199" i="17" a="1"/>
  <c r="W200" i="17" a="1"/>
  <c r="W201" i="17" a="1"/>
  <c r="W202" i="17" a="1"/>
  <c r="W203" i="17" a="1"/>
  <c r="W204" i="17" a="1"/>
  <c r="W205" i="17" a="1"/>
  <c r="W206" i="17" a="1"/>
  <c r="W207" i="17" a="1"/>
  <c r="W208" i="17" a="1"/>
  <c r="W209" i="17" a="1"/>
  <c r="W210" i="17" a="1"/>
  <c r="W211" i="17" a="1"/>
  <c r="W212" i="17" a="1"/>
  <c r="N212" i="17" s="1" a="1"/>
  <c r="W213" i="17" a="1"/>
  <c r="N213" i="17" s="1" a="1"/>
  <c r="W214" i="17" a="1"/>
  <c r="N214" i="17" s="1" a="1"/>
  <c r="W215" i="17" a="1"/>
  <c r="N215" i="17" s="1" a="1"/>
  <c r="W216" i="17" a="1"/>
  <c r="N216" i="17" s="1" a="1"/>
  <c r="W217" i="17" a="1"/>
  <c r="N217" i="17" s="1" a="1"/>
  <c r="W218" i="17" a="1"/>
  <c r="N218" i="17" s="1" a="1"/>
  <c r="W219" i="17" a="1"/>
  <c r="N219" i="17" s="1" a="1"/>
  <c r="W220" i="17" a="1"/>
  <c r="N220" i="17" s="1" a="1"/>
  <c r="W221" i="17" a="1"/>
  <c r="N221" i="17" s="1" a="1"/>
  <c r="W222" i="17" a="1"/>
  <c r="N222" i="17" s="1" a="1"/>
  <c r="W223" i="17" a="1"/>
  <c r="N223" i="17" s="1" a="1"/>
  <c r="W224" i="17" a="1"/>
  <c r="N224" i="17" s="1" a="1"/>
  <c r="W225" i="17" a="1"/>
  <c r="N225" i="17" s="1" a="1"/>
  <c r="W226" i="17" a="1"/>
  <c r="N226" i="17" s="1" a="1"/>
  <c r="W227" i="17" a="1"/>
  <c r="N227" i="17" s="1" a="1"/>
  <c r="W228" i="17" a="1"/>
  <c r="N228" i="17" s="1" a="1"/>
  <c r="W229" i="17" a="1"/>
  <c r="N229" i="17" s="1" a="1"/>
  <c r="W230" i="17" a="1"/>
  <c r="N230" i="17" s="1" a="1"/>
  <c r="W231" i="17" a="1"/>
  <c r="N231" i="17" s="1" a="1"/>
  <c r="W232" i="17" a="1"/>
  <c r="N232" i="17" s="1" a="1"/>
  <c r="W233" i="17" a="1"/>
  <c r="N233" i="17" s="1" a="1"/>
  <c r="W234" i="17" a="1"/>
  <c r="N234" i="17" s="1" a="1"/>
  <c r="W235" i="17" a="1"/>
  <c r="N235" i="17" s="1" a="1"/>
  <c r="W236" i="17" a="1"/>
  <c r="N236" i="17" s="1" a="1"/>
  <c r="W237" i="17" a="1"/>
  <c r="N237" i="17" s="1" a="1"/>
  <c r="W238" i="17" a="1"/>
  <c r="N238" i="17" s="1" a="1"/>
  <c r="W239" i="17" a="1"/>
  <c r="N239" i="17" s="1" a="1"/>
  <c r="W240" i="17" a="1"/>
  <c r="N240" i="17" s="1" a="1"/>
  <c r="W241" i="17" a="1"/>
  <c r="N241" i="17" s="1" a="1"/>
  <c r="W242" i="17" a="1"/>
  <c r="N242" i="17" s="1" a="1"/>
  <c r="W243" i="17" a="1"/>
  <c r="N243" i="17" s="1" a="1"/>
  <c r="W244" i="17" a="1"/>
  <c r="N244" i="17" s="1" a="1"/>
  <c r="W245" i="17" a="1"/>
  <c r="N245" i="17" s="1" a="1"/>
  <c r="W246" i="17" a="1"/>
  <c r="N246" i="17" s="1" a="1"/>
  <c r="W247" i="17" a="1"/>
  <c r="N247" i="17" s="1" a="1"/>
  <c r="W248" i="17" a="1"/>
  <c r="N248" i="17" s="1" a="1"/>
  <c r="W249" i="17" a="1"/>
  <c r="W250" i="17" a="1"/>
  <c r="W251" i="17" a="1"/>
  <c r="W252" i="17" a="1"/>
  <c r="W253" i="17" a="1"/>
  <c r="W254" i="17" a="1"/>
  <c r="W255" i="17" a="1"/>
  <c r="W256" i="17" a="1"/>
  <c r="W257" i="17" a="1"/>
  <c r="W258" i="17" a="1"/>
  <c r="W259" i="17" a="1"/>
  <c r="W260" i="17" a="1"/>
  <c r="W261" i="17" a="1"/>
  <c r="W262" i="17" a="1"/>
  <c r="W263" i="17" a="1"/>
  <c r="W264" i="17" a="1"/>
  <c r="W265" i="17" a="1"/>
  <c r="W266" i="17" a="1"/>
  <c r="W267" i="17" a="1"/>
  <c r="W268" i="17" a="1"/>
  <c r="W269" i="17" a="1"/>
  <c r="W270" i="17" a="1"/>
  <c r="W271" i="17" a="1"/>
  <c r="W272" i="17" a="1"/>
  <c r="W273" i="17" a="1"/>
  <c r="W274" i="17" a="1"/>
  <c r="W275" i="17" a="1"/>
  <c r="W276" i="17" a="1"/>
  <c r="W277" i="17" a="1"/>
  <c r="W278" i="17" a="1"/>
  <c r="W279" i="17" a="1"/>
  <c r="W280" i="17" a="1"/>
  <c r="W281" i="17" a="1"/>
  <c r="W282" i="17" a="1"/>
  <c r="W283" i="17" a="1"/>
  <c r="W284" i="17" a="1"/>
  <c r="W285" i="17" a="1"/>
  <c r="W286" i="17" a="1"/>
  <c r="W287" i="17" a="1"/>
  <c r="W288" i="17" a="1"/>
  <c r="W289" i="17" a="1"/>
  <c r="W290" i="17" a="1"/>
  <c r="W291" i="17" a="1"/>
  <c r="W292" i="17" a="1"/>
  <c r="W293" i="17" a="1"/>
  <c r="W294" i="17" a="1"/>
  <c r="W295" i="17" a="1"/>
  <c r="W296" i="17" a="1"/>
  <c r="W297" i="17" a="1"/>
  <c r="W298" i="17" a="1"/>
  <c r="W299" i="17" a="1"/>
  <c r="W300" i="17" a="1"/>
  <c r="W301" i="17" a="1"/>
  <c r="W302" i="17" a="1"/>
  <c r="W303" i="17" a="1"/>
  <c r="W304" i="17" a="1"/>
  <c r="W305" i="17" a="1"/>
  <c r="W306" i="17" a="1"/>
  <c r="W307" i="17" a="1"/>
  <c r="W308" i="17" a="1"/>
  <c r="W309" i="17" a="1"/>
  <c r="W310" i="17" a="1"/>
  <c r="W311" i="17" a="1"/>
  <c r="W312" i="17" a="1"/>
  <c r="W313" i="17" a="1"/>
  <c r="W314" i="17" a="1"/>
  <c r="W315" i="17" a="1"/>
  <c r="W316" i="17" a="1"/>
  <c r="W317" i="17" a="1"/>
  <c r="W318" i="17" a="1"/>
  <c r="W319" i="17" a="1"/>
  <c r="W320" i="17" a="1"/>
  <c r="W321" i="17" a="1"/>
  <c r="W322" i="17" a="1"/>
  <c r="W323" i="17" a="1"/>
  <c r="W324" i="17" a="1"/>
  <c r="W325" i="17" a="1"/>
  <c r="W326" i="17" a="1"/>
  <c r="W327" i="17" a="1"/>
  <c r="W328" i="17" a="1"/>
  <c r="W329" i="17" a="1"/>
  <c r="W330" i="17" a="1"/>
  <c r="W331" i="17" a="1"/>
  <c r="W332" i="17" a="1"/>
  <c r="W333" i="17" a="1"/>
  <c r="W334" i="17" a="1"/>
  <c r="W335" i="17" a="1"/>
  <c r="W336" i="17" a="1"/>
  <c r="W337" i="17" a="1"/>
  <c r="W338" i="17" a="1"/>
  <c r="W339" i="17" a="1"/>
  <c r="W340" i="17" a="1"/>
  <c r="W341" i="17" a="1"/>
  <c r="W342" i="17" a="1"/>
  <c r="W343" i="17" a="1"/>
  <c r="W344" i="17" a="1"/>
  <c r="W345" i="17" a="1"/>
  <c r="W346" i="17" a="1"/>
  <c r="W347" i="17" a="1"/>
  <c r="W348" i="17" a="1"/>
  <c r="W349" i="17" a="1"/>
  <c r="W350" i="17" a="1"/>
  <c r="W351" i="17" a="1"/>
  <c r="W352" i="17" a="1"/>
  <c r="W353" i="17" a="1"/>
  <c r="W354" i="17" a="1"/>
  <c r="W355" i="17" a="1"/>
  <c r="W356" i="17" a="1"/>
  <c r="W357" i="17" a="1"/>
  <c r="W358" i="17" a="1"/>
  <c r="W359" i="17" a="1"/>
  <c r="W360" i="17" a="1"/>
  <c r="W361" i="17" a="1"/>
  <c r="W362" i="17" a="1"/>
  <c r="W363" i="17" a="1"/>
  <c r="W364" i="17" a="1"/>
  <c r="W365" i="17" a="1"/>
  <c r="W366" i="17" a="1"/>
  <c r="W367" i="17" a="1"/>
  <c r="W368" i="17" a="1"/>
  <c r="W369" i="17" a="1"/>
  <c r="W370" i="17" a="1"/>
  <c r="W371" i="17" a="1"/>
  <c r="W372" i="17" a="1"/>
  <c r="W373" i="17" a="1"/>
  <c r="W374" i="17" a="1"/>
  <c r="W375" i="17" a="1"/>
  <c r="W376" i="17" a="1"/>
  <c r="W377" i="17" a="1"/>
  <c r="W378" i="17" a="1"/>
  <c r="W379" i="17" a="1"/>
  <c r="W380" i="17" a="1"/>
  <c r="W381" i="17" a="1"/>
  <c r="W382" i="17" a="1"/>
  <c r="W383" i="17" a="1"/>
  <c r="W384" i="17" a="1"/>
  <c r="W385" i="17" a="1"/>
  <c r="W386" i="17" a="1"/>
  <c r="W387" i="17" a="1"/>
  <c r="W388" i="17" a="1"/>
  <c r="W389" i="17" a="1"/>
  <c r="W390" i="17" a="1"/>
  <c r="W391" i="17" a="1"/>
  <c r="W392" i="17" a="1"/>
  <c r="W393" i="17" a="1"/>
  <c r="W394" i="17" a="1"/>
  <c r="W395" i="17" a="1"/>
  <c r="W396" i="17" a="1"/>
  <c r="W397" i="17" a="1"/>
  <c r="W398" i="17" a="1"/>
  <c r="W399" i="17" a="1"/>
  <c r="W400" i="17" a="1"/>
  <c r="W401" i="17" a="1"/>
  <c r="W402" i="17" a="1"/>
  <c r="W403" i="17" a="1"/>
  <c r="W404" i="17" a="1"/>
  <c r="W405" i="17" a="1"/>
  <c r="W406" i="17" a="1"/>
  <c r="W407" i="17" a="1"/>
  <c r="W408" i="17" a="1"/>
  <c r="W409" i="17" a="1"/>
  <c r="W410" i="17" a="1"/>
  <c r="W411" i="17" a="1"/>
  <c r="W412" i="17" a="1"/>
  <c r="W413" i="17" a="1"/>
  <c r="W414" i="17" a="1"/>
  <c r="W415" i="17" a="1"/>
  <c r="W416" i="17" a="1"/>
  <c r="W417" i="17" a="1"/>
  <c r="W418" i="17" a="1"/>
  <c r="W419" i="17" a="1"/>
  <c r="W420" i="17" a="1"/>
  <c r="W421" i="17" a="1"/>
  <c r="W422" i="17" a="1"/>
  <c r="W423" i="17" a="1"/>
  <c r="W424" i="17" a="1"/>
  <c r="W425" i="17" a="1"/>
  <c r="W426" i="17" a="1"/>
  <c r="W427" i="17" a="1"/>
  <c r="W428" i="17" a="1"/>
  <c r="W429" i="17" a="1"/>
  <c r="W430" i="17" a="1"/>
  <c r="W431" i="17" a="1"/>
  <c r="W432" i="17" a="1"/>
  <c r="W433" i="17" a="1"/>
  <c r="W434" i="17" a="1"/>
  <c r="W435" i="17" a="1"/>
  <c r="W436" i="17" a="1"/>
  <c r="W437" i="17" a="1"/>
  <c r="W438" i="17" a="1"/>
  <c r="W439" i="17" a="1"/>
  <c r="W440" i="17" a="1"/>
  <c r="W441" i="17" a="1"/>
  <c r="W442" i="17" a="1"/>
  <c r="W443" i="17" a="1"/>
  <c r="W444" i="17" a="1"/>
  <c r="W445" i="17" a="1"/>
  <c r="W446" i="17" a="1"/>
  <c r="W447" i="17" a="1"/>
  <c r="W448" i="17" a="1"/>
  <c r="W449" i="17" a="1"/>
  <c r="W450" i="17" a="1"/>
  <c r="W451" i="17" a="1"/>
  <c r="W452" i="17" a="1"/>
  <c r="W453" i="17" a="1"/>
  <c r="W454" i="17" a="1"/>
  <c r="W455" i="17" a="1"/>
  <c r="W456" i="17" a="1"/>
  <c r="W457" i="17" a="1"/>
  <c r="W458" i="17" a="1"/>
  <c r="W459" i="17" a="1"/>
  <c r="W460" i="17" a="1"/>
  <c r="W461" i="17" a="1"/>
  <c r="W462" i="17" a="1"/>
  <c r="W463" i="17" a="1"/>
  <c r="W464" i="17" a="1"/>
  <c r="W465" i="17" a="1"/>
  <c r="W466" i="17" a="1"/>
  <c r="W467" i="17" a="1"/>
  <c r="W468" i="17" a="1"/>
  <c r="W469" i="17" a="1"/>
  <c r="W470" i="17" a="1"/>
  <c r="W471" i="17" a="1"/>
  <c r="W472" i="17" a="1"/>
  <c r="W473" i="17" a="1"/>
  <c r="W474" i="17" a="1"/>
  <c r="W475" i="17" a="1"/>
  <c r="W476" i="17" a="1"/>
  <c r="W477" i="17" a="1"/>
  <c r="W478" i="17" a="1"/>
  <c r="W479" i="17" a="1"/>
  <c r="W480" i="17" a="1"/>
  <c r="W481" i="17" a="1"/>
  <c r="W482" i="17" a="1"/>
  <c r="W483" i="17" a="1"/>
  <c r="W484" i="17" a="1"/>
  <c r="W485" i="17" a="1"/>
  <c r="W486" i="17" a="1"/>
  <c r="W487" i="17" a="1"/>
  <c r="W488" i="17" a="1"/>
  <c r="W489" i="17" a="1"/>
  <c r="W490" i="17" a="1"/>
  <c r="W491" i="17" a="1"/>
  <c r="W492" i="17" a="1"/>
  <c r="W493" i="17" a="1"/>
  <c r="W494" i="17" a="1"/>
  <c r="W495" i="17" a="1"/>
  <c r="W496" i="17" a="1"/>
  <c r="W497" i="17" a="1"/>
  <c r="W498" i="17" a="1"/>
  <c r="W499" i="17" a="1"/>
  <c r="W500" i="17" a="1"/>
  <c r="W501" i="17" a="1"/>
  <c r="W502" i="17" a="1"/>
  <c r="W503" i="17" a="1"/>
  <c r="W504" i="17" a="1"/>
  <c r="W505" i="17" a="1"/>
  <c r="W506" i="17" a="1"/>
  <c r="W507" i="17" a="1"/>
  <c r="W508" i="17" a="1"/>
  <c r="W509" i="17" a="1"/>
  <c r="W510" i="17" a="1"/>
  <c r="W511" i="17" a="1"/>
  <c r="W512" i="17" a="1"/>
  <c r="W513" i="17" a="1"/>
  <c r="W514" i="17" a="1"/>
  <c r="W515" i="17" a="1"/>
  <c r="W516" i="17" a="1"/>
  <c r="W517" i="17" a="1"/>
  <c r="W518" i="17" a="1"/>
  <c r="W519" i="17" a="1"/>
  <c r="W520" i="17" a="1"/>
  <c r="W521" i="17" a="1"/>
  <c r="W522" i="17" a="1"/>
  <c r="W523" i="17" a="1"/>
  <c r="W524" i="17" a="1"/>
  <c r="W525" i="17" a="1"/>
  <c r="W526" i="17" a="1"/>
  <c r="W527" i="17" a="1"/>
  <c r="W528" i="17" a="1"/>
  <c r="W529" i="17" a="1"/>
  <c r="W530" i="17" a="1"/>
  <c r="W531" i="17" a="1"/>
  <c r="W532" i="17" a="1"/>
  <c r="W533" i="17" a="1"/>
  <c r="W534" i="17" a="1"/>
  <c r="W535" i="17" a="1"/>
  <c r="W536" i="17" a="1"/>
  <c r="W537" i="17" a="1"/>
  <c r="W538" i="17" a="1"/>
  <c r="W539" i="17" a="1"/>
  <c r="W540" i="17" a="1"/>
  <c r="W541" i="17" a="1"/>
  <c r="W542" i="17" a="1"/>
  <c r="W543" i="17" a="1"/>
  <c r="W544" i="17" a="1"/>
  <c r="W545" i="17" a="1"/>
  <c r="W546" i="17" a="1"/>
  <c r="W547" i="17" a="1"/>
  <c r="W548" i="17" a="1"/>
  <c r="W549" i="17" a="1"/>
  <c r="W550" i="17" a="1"/>
  <c r="W551" i="17" a="1"/>
  <c r="W552" i="17" a="1"/>
  <c r="W553" i="17" a="1"/>
  <c r="W554" i="17" a="1"/>
  <c r="W555" i="17" a="1"/>
  <c r="W556" i="17" a="1"/>
  <c r="W557" i="17" a="1"/>
  <c r="W558" i="17" a="1"/>
  <c r="W559" i="17" a="1"/>
  <c r="W560" i="17" a="1"/>
  <c r="W561" i="17" a="1"/>
  <c r="W562" i="17" a="1"/>
  <c r="W563" i="17" a="1"/>
  <c r="W564" i="17" a="1"/>
  <c r="W565" i="17" a="1"/>
  <c r="W566" i="17" a="1"/>
  <c r="W567" i="17" a="1"/>
  <c r="W568" i="17" a="1"/>
  <c r="W569" i="17" a="1"/>
  <c r="W570" i="17" a="1"/>
  <c r="W571" i="17" a="1"/>
  <c r="W572" i="17" a="1"/>
  <c r="W573" i="17" a="1"/>
  <c r="W574" i="17" a="1"/>
  <c r="W575" i="17" a="1"/>
  <c r="W576" i="17" a="1"/>
  <c r="W577" i="17" a="1"/>
  <c r="W578" i="17" a="1"/>
  <c r="W579" i="17" a="1"/>
  <c r="W580" i="17" a="1"/>
  <c r="W581" i="17" a="1"/>
  <c r="W582" i="17" a="1"/>
  <c r="W583" i="17" a="1"/>
  <c r="W584" i="17" a="1"/>
  <c r="W585" i="17" a="1"/>
  <c r="W586" i="17" a="1"/>
  <c r="W587" i="17" a="1"/>
  <c r="W588" i="17" a="1"/>
  <c r="W589" i="17" a="1"/>
  <c r="W590" i="17" a="1"/>
  <c r="W591" i="17" a="1"/>
  <c r="W592" i="17" a="1"/>
  <c r="W593" i="17" a="1"/>
  <c r="W594" i="17" a="1"/>
  <c r="W595" i="17" a="1"/>
  <c r="W596" i="17" a="1"/>
  <c r="W597" i="17" a="1"/>
  <c r="W598" i="17" a="1"/>
  <c r="W599" i="17" a="1"/>
  <c r="W600" i="17" a="1"/>
  <c r="W601" i="17" a="1"/>
  <c r="W602" i="17" a="1"/>
  <c r="W603" i="17" a="1"/>
  <c r="W604" i="17" a="1"/>
  <c r="W605" i="17" a="1"/>
  <c r="W606" i="17" a="1"/>
  <c r="W607" i="17" a="1"/>
  <c r="W608" i="17" a="1"/>
  <c r="W609" i="17" a="1"/>
  <c r="W610" i="17" a="1"/>
  <c r="W611" i="17" a="1"/>
  <c r="W612" i="17" a="1"/>
  <c r="W613" i="17" a="1"/>
  <c r="W614" i="17" a="1"/>
  <c r="W615" i="17" a="1"/>
  <c r="W616" i="17" a="1"/>
  <c r="W617" i="17" a="1"/>
  <c r="W618" i="17" a="1"/>
  <c r="W619" i="17" a="1"/>
  <c r="W620" i="17" a="1"/>
  <c r="N620" i="17" s="1" a="1"/>
  <c r="W621" i="17" a="1"/>
  <c r="N621" i="17" s="1" a="1"/>
  <c r="W622" i="17" a="1"/>
  <c r="N622" i="17" s="1" a="1"/>
  <c r="W623" i="17" a="1"/>
  <c r="N623" i="17" s="1" a="1"/>
  <c r="W624" i="17" a="1"/>
  <c r="N624" i="17" s="1" a="1"/>
  <c r="W625" i="17" a="1"/>
  <c r="N625" i="17" s="1" a="1"/>
  <c r="W626" i="17" a="1"/>
  <c r="N626" i="17" s="1" a="1"/>
  <c r="W627" i="17" a="1"/>
  <c r="N627" i="17" s="1" a="1"/>
  <c r="W628" i="17" a="1"/>
  <c r="N628" i="17" s="1" a="1"/>
  <c r="W629" i="17" a="1"/>
  <c r="N629" i="17" s="1" a="1"/>
  <c r="W630" i="17" a="1"/>
  <c r="N630" i="17" s="1" a="1"/>
  <c r="W631" i="17" a="1"/>
  <c r="N631" i="17" s="1" a="1"/>
  <c r="W632" i="17" a="1"/>
  <c r="N632" i="17" s="1" a="1"/>
  <c r="W633" i="17" a="1"/>
  <c r="N633" i="17" s="1" a="1"/>
  <c r="W634" i="17" a="1"/>
  <c r="N634" i="17" s="1" a="1"/>
  <c r="W635" i="17" a="1"/>
  <c r="N635" i="17" s="1" a="1"/>
  <c r="W636" i="17" a="1"/>
  <c r="N636" i="17" s="1" a="1"/>
  <c r="W637" i="17" a="1"/>
  <c r="N637" i="17" s="1" a="1"/>
  <c r="W638" i="17" a="1"/>
  <c r="N638" i="17" s="1" a="1"/>
  <c r="W639" i="17" a="1"/>
  <c r="N639" i="17" s="1" a="1"/>
  <c r="W640" i="17" a="1"/>
  <c r="N640" i="17" s="1" a="1"/>
  <c r="W641" i="17" a="1"/>
  <c r="N641" i="17" s="1" a="1"/>
  <c r="W642" i="17" a="1"/>
  <c r="N642" i="17" s="1" a="1"/>
  <c r="W643" i="17" a="1"/>
  <c r="N643" i="17" s="1" a="1"/>
  <c r="W644" i="17" a="1"/>
  <c r="N644" i="17" s="1" a="1"/>
  <c r="W645" i="17" a="1"/>
  <c r="N645" i="17" s="1" a="1"/>
  <c r="W646" i="17" a="1"/>
  <c r="N646" i="17" s="1" a="1"/>
  <c r="W647" i="17" a="1"/>
  <c r="N647" i="17" s="1" a="1"/>
  <c r="W648" i="17" a="1"/>
  <c r="N648" i="17" s="1" a="1"/>
  <c r="W649" i="17" a="1"/>
  <c r="N649" i="17" s="1" a="1"/>
  <c r="W650" i="17" a="1"/>
  <c r="N650" i="17" s="1" a="1"/>
  <c r="W651" i="17" a="1"/>
  <c r="N651" i="17" s="1" a="1"/>
  <c r="W652" i="17" a="1"/>
  <c r="N652" i="17" s="1" a="1"/>
  <c r="W653" i="17" a="1"/>
  <c r="N653" i="17" s="1" a="1"/>
  <c r="W654" i="17" a="1"/>
  <c r="N654" i="17" s="1" a="1"/>
  <c r="W655" i="17" a="1"/>
  <c r="N655" i="17" s="1" a="1"/>
  <c r="W656" i="17" a="1"/>
  <c r="N656" i="17" s="1" a="1"/>
  <c r="W657" i="17" a="1"/>
  <c r="N657" i="17" s="1" a="1"/>
  <c r="W658" i="17" a="1"/>
  <c r="N658" i="17" s="1" a="1"/>
  <c r="W659" i="17" a="1"/>
  <c r="N659" i="17" s="1" a="1"/>
  <c r="W660" i="17" a="1"/>
  <c r="W661" i="17" a="1"/>
  <c r="W662" i="17" a="1"/>
  <c r="W663" i="17" a="1"/>
  <c r="W664" i="17" a="1"/>
  <c r="W665" i="17" a="1"/>
  <c r="W666" i="17" a="1"/>
  <c r="W667" i="17" a="1"/>
  <c r="W668" i="17" a="1"/>
  <c r="W669" i="17" a="1"/>
  <c r="W670" i="17" a="1"/>
  <c r="W671" i="17" a="1"/>
  <c r="W672" i="17" a="1"/>
  <c r="W673" i="17" a="1"/>
  <c r="W674" i="17" a="1"/>
  <c r="W675" i="17" a="1"/>
  <c r="W676" i="17" a="1"/>
  <c r="W677" i="17" a="1"/>
  <c r="W678" i="17" a="1"/>
  <c r="W679" i="17" a="1"/>
  <c r="W680" i="17" a="1"/>
  <c r="W681" i="17" a="1"/>
  <c r="W682" i="17" a="1"/>
  <c r="W683" i="17" a="1"/>
  <c r="W684" i="17" a="1"/>
  <c r="W685" i="17" a="1"/>
  <c r="W686" i="17" a="1"/>
  <c r="W687" i="17" a="1"/>
  <c r="W688" i="17" a="1"/>
  <c r="W689" i="17" a="1"/>
  <c r="W690" i="17" a="1"/>
  <c r="W691" i="17" a="1"/>
  <c r="W692" i="17" a="1"/>
  <c r="W693" i="17" a="1"/>
  <c r="W694" i="17" a="1"/>
  <c r="W695" i="17" a="1"/>
  <c r="W696" i="17" a="1"/>
  <c r="W697" i="17" a="1"/>
  <c r="W698" i="17" a="1"/>
  <c r="W699" i="17" a="1"/>
  <c r="W700" i="17" a="1"/>
  <c r="W701" i="17" a="1"/>
  <c r="W702" i="17" a="1"/>
  <c r="W703" i="17" a="1"/>
  <c r="W704" i="17" a="1"/>
  <c r="W705" i="17" a="1"/>
  <c r="W706" i="17" a="1"/>
  <c r="W707" i="17" a="1"/>
  <c r="W708" i="17" a="1"/>
  <c r="W709" i="17" a="1"/>
  <c r="W710" i="17" a="1"/>
  <c r="W711" i="17" a="1"/>
  <c r="W712" i="17" a="1"/>
  <c r="W713" i="17" a="1"/>
  <c r="W714" i="17" a="1"/>
  <c r="W715" i="17" a="1"/>
  <c r="W716" i="17" a="1"/>
  <c r="W717" i="17" a="1"/>
  <c r="W718" i="17" a="1"/>
  <c r="W719" i="17" a="1"/>
  <c r="W720" i="17" a="1"/>
  <c r="W721" i="17" a="1"/>
  <c r="W722" i="17" a="1"/>
  <c r="W723" i="17" a="1"/>
  <c r="W724" i="17" a="1"/>
  <c r="W725" i="17" a="1"/>
  <c r="W726" i="17" a="1"/>
  <c r="W727" i="17" a="1"/>
  <c r="W728" i="17" a="1"/>
  <c r="W729" i="17" a="1"/>
  <c r="W730" i="17" a="1"/>
  <c r="W731" i="17" a="1"/>
  <c r="W732" i="17" a="1"/>
  <c r="W733" i="17" a="1"/>
  <c r="W734" i="17" a="1"/>
  <c r="W735" i="17" a="1"/>
  <c r="W736" i="17" a="1"/>
  <c r="W737" i="17" a="1"/>
  <c r="W738" i="17" a="1"/>
  <c r="W739" i="17" a="1"/>
  <c r="W740" i="17" a="1"/>
  <c r="W741" i="17" a="1"/>
  <c r="W742" i="17" a="1"/>
  <c r="W743" i="17" a="1"/>
  <c r="W744" i="17" a="1"/>
  <c r="W745" i="17" a="1"/>
  <c r="W746" i="17" a="1"/>
  <c r="W747" i="17" a="1"/>
  <c r="W748" i="17" a="1"/>
  <c r="W749" i="17" a="1"/>
  <c r="W750" i="17" a="1"/>
  <c r="W751" i="17" a="1"/>
  <c r="W752" i="17" a="1"/>
  <c r="W753" i="17" a="1"/>
  <c r="W754" i="17" a="1"/>
  <c r="W755" i="17" a="1"/>
  <c r="W756" i="17" a="1"/>
  <c r="W757" i="17" a="1"/>
  <c r="W758" i="17" a="1"/>
  <c r="W759" i="17" a="1"/>
  <c r="W760" i="17" a="1"/>
  <c r="W761" i="17" a="1"/>
  <c r="W762" i="17" a="1"/>
  <c r="W763" i="17" a="1"/>
  <c r="W764" i="17" a="1"/>
  <c r="W765" i="17" a="1"/>
  <c r="W766" i="17" a="1"/>
  <c r="W767" i="17" a="1"/>
  <c r="W768" i="17" a="1"/>
  <c r="W769" i="17" a="1"/>
  <c r="W770" i="17" a="1"/>
  <c r="W771" i="17" a="1"/>
  <c r="W772" i="17" a="1"/>
  <c r="W773" i="17" a="1"/>
  <c r="W774" i="17" a="1"/>
  <c r="W775" i="17" a="1"/>
  <c r="W776" i="17" a="1"/>
  <c r="W777" i="17" a="1"/>
  <c r="W778" i="17" a="1"/>
  <c r="W779" i="17" a="1"/>
  <c r="W780" i="17" a="1"/>
  <c r="W781" i="17" a="1"/>
  <c r="W782" i="17" a="1"/>
  <c r="W783" i="17" a="1"/>
  <c r="W784" i="17" a="1"/>
  <c r="W785" i="17" a="1"/>
  <c r="W786" i="17" a="1"/>
  <c r="W787" i="17" a="1"/>
  <c r="W788" i="17" a="1"/>
  <c r="W789" i="17" a="1"/>
  <c r="W790" i="17" a="1"/>
  <c r="W791" i="17" a="1"/>
  <c r="W792" i="17" a="1"/>
  <c r="W793" i="17" a="1"/>
  <c r="W794" i="17" a="1"/>
  <c r="W795" i="17" a="1"/>
  <c r="W796" i="17" a="1"/>
  <c r="W797" i="17" a="1"/>
  <c r="W798" i="17" a="1"/>
  <c r="W799" i="17" a="1"/>
  <c r="W800" i="17" a="1"/>
  <c r="W801" i="17" a="1"/>
  <c r="W802" i="17" a="1"/>
  <c r="W803" i="17" a="1"/>
  <c r="W804" i="17" a="1"/>
  <c r="W805" i="17" a="1"/>
  <c r="W806" i="17" a="1"/>
  <c r="W807" i="17" a="1"/>
  <c r="W808" i="17" a="1"/>
  <c r="W809" i="17" a="1"/>
  <c r="W810" i="17" a="1"/>
  <c r="W811" i="17" a="1"/>
  <c r="W812" i="17" a="1"/>
  <c r="W813" i="17" a="1"/>
  <c r="W814" i="17" a="1"/>
  <c r="W815" i="17" a="1"/>
  <c r="W816" i="17" a="1"/>
  <c r="W817" i="17" a="1"/>
  <c r="W818" i="17" a="1"/>
  <c r="W819" i="17" a="1"/>
  <c r="W820" i="17" a="1"/>
  <c r="W821" i="17" a="1"/>
  <c r="W822" i="17" a="1"/>
  <c r="W823" i="17" a="1"/>
  <c r="W824" i="17" a="1"/>
  <c r="W825" i="17" a="1"/>
  <c r="W826" i="17" a="1"/>
  <c r="W827" i="17" a="1"/>
  <c r="W828" i="17" a="1"/>
  <c r="W829" i="17" a="1"/>
  <c r="W830" i="17" a="1"/>
  <c r="W831" i="17" a="1"/>
  <c r="W832" i="17" a="1"/>
  <c r="W833" i="17" a="1"/>
  <c r="W834" i="17" a="1"/>
  <c r="W835" i="17" a="1"/>
  <c r="W836" i="17" a="1"/>
  <c r="W837" i="17" a="1"/>
  <c r="W838" i="17" a="1"/>
  <c r="W839" i="17" a="1"/>
  <c r="W840" i="17" a="1"/>
  <c r="W841" i="17" a="1"/>
  <c r="W842" i="17" a="1"/>
  <c r="W843" i="17" a="1"/>
  <c r="W844" i="17" a="1"/>
  <c r="W845" i="17" a="1"/>
  <c r="W846" i="17" a="1"/>
  <c r="W847" i="17" a="1"/>
  <c r="W848" i="17" a="1"/>
  <c r="W849" i="17" a="1"/>
  <c r="W850" i="17" a="1"/>
  <c r="W851" i="17" a="1"/>
  <c r="W852" i="17" a="1"/>
  <c r="W853" i="17" a="1"/>
  <c r="W854" i="17" a="1"/>
  <c r="W855" i="17" a="1"/>
  <c r="W856" i="17" a="1"/>
  <c r="W857" i="17" a="1"/>
  <c r="W858" i="17" a="1"/>
  <c r="W859" i="17" a="1"/>
  <c r="W860" i="17" a="1"/>
  <c r="W861" i="17" a="1"/>
  <c r="W862" i="17" a="1"/>
  <c r="W863" i="17" a="1"/>
  <c r="W864" i="17" a="1"/>
  <c r="W865" i="17" a="1"/>
  <c r="W866" i="17" a="1"/>
  <c r="W867" i="17" a="1"/>
  <c r="W868" i="17" a="1"/>
  <c r="W869" i="17" a="1"/>
  <c r="W870" i="17" a="1"/>
  <c r="W871" i="17" a="1"/>
  <c r="W872" i="17" a="1"/>
  <c r="W873" i="17" a="1"/>
  <c r="W874" i="17" a="1"/>
  <c r="W875" i="17" a="1"/>
  <c r="W876" i="17" a="1"/>
  <c r="W877" i="17" a="1"/>
  <c r="W878" i="17" a="1"/>
  <c r="W879" i="17" a="1"/>
  <c r="W880" i="17" a="1"/>
  <c r="W881" i="17" a="1"/>
  <c r="W882" i="17" a="1"/>
  <c r="W883" i="17" a="1"/>
  <c r="W884" i="17" a="1"/>
  <c r="W885" i="17" a="1"/>
  <c r="W886" i="17" a="1"/>
  <c r="W887" i="17" a="1"/>
  <c r="W888" i="17" a="1"/>
  <c r="W889" i="17" a="1"/>
  <c r="W890" i="17" a="1"/>
  <c r="W891" i="17" a="1"/>
  <c r="W892" i="17" a="1"/>
  <c r="W893" i="17" a="1"/>
  <c r="W894" i="17" a="1"/>
  <c r="W895" i="17" a="1"/>
  <c r="W896" i="17" a="1"/>
  <c r="W897" i="17" a="1"/>
  <c r="W898" i="17" a="1"/>
  <c r="W899" i="17" a="1"/>
  <c r="W900" i="17" a="1"/>
  <c r="W901" i="17" a="1"/>
  <c r="W902" i="17" a="1"/>
  <c r="W903" i="17" a="1"/>
  <c r="W904" i="17" a="1"/>
  <c r="W905" i="17" a="1"/>
  <c r="W906" i="17" a="1"/>
  <c r="W907" i="17" a="1"/>
  <c r="W908" i="17" a="1"/>
  <c r="W909" i="17" a="1"/>
  <c r="W910" i="17" a="1"/>
  <c r="W911" i="17" a="1"/>
  <c r="W912" i="17" a="1"/>
  <c r="W913" i="17" a="1"/>
  <c r="W914" i="17" a="1"/>
  <c r="W915" i="17" a="1"/>
  <c r="W916" i="17" a="1"/>
  <c r="W917" i="17" a="1"/>
  <c r="W918" i="17" a="1"/>
  <c r="W919" i="17" a="1"/>
  <c r="W920" i="17" a="1"/>
  <c r="W921" i="17" a="1"/>
  <c r="W922" i="17" a="1"/>
  <c r="W923" i="17" a="1"/>
  <c r="W924" i="17" a="1"/>
  <c r="W925" i="17" a="1"/>
  <c r="W926" i="17" a="1"/>
  <c r="W927" i="17" a="1"/>
  <c r="W928" i="17" a="1"/>
  <c r="W929" i="17" a="1"/>
  <c r="W930" i="17" a="1"/>
  <c r="W931" i="17" a="1"/>
  <c r="W932" i="17" a="1"/>
  <c r="W933" i="17" a="1"/>
  <c r="W934" i="17" a="1"/>
  <c r="W935" i="17" a="1"/>
  <c r="W936" i="17" a="1"/>
  <c r="W937" i="17" a="1"/>
  <c r="W938" i="17" a="1"/>
  <c r="W939" i="17" a="1"/>
  <c r="W940" i="17" a="1"/>
  <c r="W941" i="17" a="1"/>
  <c r="W942" i="17" a="1"/>
  <c r="W943" i="17" a="1"/>
  <c r="W944" i="17" a="1"/>
  <c r="W945" i="17" a="1"/>
  <c r="W946" i="17" a="1"/>
  <c r="W947" i="17" a="1"/>
  <c r="W948" i="17" a="1"/>
  <c r="W949" i="17" a="1"/>
  <c r="W950" i="17" a="1"/>
  <c r="W951" i="17" a="1"/>
  <c r="W952" i="17" a="1"/>
  <c r="W953" i="17" a="1"/>
  <c r="W954" i="17" a="1"/>
  <c r="W955" i="17" a="1"/>
  <c r="W956" i="17" a="1"/>
  <c r="W957" i="17" a="1"/>
  <c r="W958" i="17" a="1"/>
  <c r="W959" i="17" a="1"/>
  <c r="W960" i="17" a="1"/>
  <c r="W961" i="17" a="1"/>
  <c r="W962" i="17" a="1"/>
  <c r="W963" i="17" a="1"/>
  <c r="W964" i="17" a="1"/>
  <c r="W965" i="17" a="1"/>
  <c r="W966" i="17" a="1"/>
  <c r="W967" i="17" a="1"/>
  <c r="W968" i="17" a="1"/>
  <c r="W969" i="17" a="1"/>
  <c r="W970" i="17" a="1"/>
  <c r="W971" i="17" a="1"/>
  <c r="W972" i="17" a="1"/>
  <c r="AF972" i="1"/>
  <c r="AG972" i="1" a="1"/>
  <c r="AH972" i="1" a="1"/>
  <c r="AI972" i="1" a="1"/>
  <c r="S972" i="17"/>
  <c r="T972" i="17" s="1"/>
  <c r="B972" i="14"/>
  <c r="I972" i="14"/>
  <c r="H972" i="14" s="1"/>
  <c r="J972" i="14"/>
  <c r="K972" i="14"/>
  <c r="L972" i="14"/>
  <c r="N972" i="14"/>
  <c r="O972" i="14"/>
  <c r="P972" i="14"/>
  <c r="Q972" i="14"/>
  <c r="F972" i="17"/>
  <c r="G972" i="17" a="1"/>
  <c r="G972" i="19" s="1"/>
  <c r="AF971" i="1"/>
  <c r="AG971" i="1" a="1"/>
  <c r="AH971" i="1" a="1"/>
  <c r="AI971" i="1" a="1"/>
  <c r="G971" i="17" a="1"/>
  <c r="F971" i="17"/>
  <c r="B971" i="14"/>
  <c r="I971" i="14"/>
  <c r="H971" i="14" s="1"/>
  <c r="J971" i="14"/>
  <c r="K971" i="14"/>
  <c r="L971" i="14"/>
  <c r="N971" i="14"/>
  <c r="O971" i="14"/>
  <c r="P971" i="14"/>
  <c r="Q971" i="14"/>
  <c r="AF970" i="1"/>
  <c r="AG970" i="1" a="1"/>
  <c r="AH970" i="1" a="1"/>
  <c r="AI970" i="1" a="1"/>
  <c r="F970" i="17"/>
  <c r="G970" i="17" a="1"/>
  <c r="B970" i="14"/>
  <c r="I970" i="14"/>
  <c r="H970" i="14" s="1"/>
  <c r="J970" i="14"/>
  <c r="K970" i="14"/>
  <c r="L970" i="14"/>
  <c r="N970" i="14"/>
  <c r="O970" i="14"/>
  <c r="P970" i="14"/>
  <c r="Q970" i="14"/>
  <c r="AF969" i="1"/>
  <c r="AG969" i="1" a="1"/>
  <c r="AH969" i="1" a="1"/>
  <c r="AI969" i="1" a="1"/>
  <c r="F969" i="17"/>
  <c r="G969" i="17" a="1"/>
  <c r="B969" i="14"/>
  <c r="I969" i="14"/>
  <c r="J969" i="14"/>
  <c r="K969" i="14"/>
  <c r="L969" i="14"/>
  <c r="N969" i="14"/>
  <c r="O969" i="14"/>
  <c r="P969" i="14"/>
  <c r="Q969" i="14"/>
  <c r="AF968" i="1"/>
  <c r="AG968" i="1" a="1"/>
  <c r="AH968" i="1" a="1"/>
  <c r="AI968" i="1" a="1"/>
  <c r="G968" i="17" a="1"/>
  <c r="F968" i="17"/>
  <c r="B968" i="14"/>
  <c r="I968" i="14"/>
  <c r="H968" i="14" s="1"/>
  <c r="J968" i="14"/>
  <c r="K968" i="14"/>
  <c r="L968" i="14"/>
  <c r="N968" i="14"/>
  <c r="O968" i="14"/>
  <c r="P968" i="14"/>
  <c r="Q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G987" i="19"/>
  <c r="C987" i="19"/>
  <c r="G986" i="19"/>
  <c r="C986" i="19"/>
  <c r="G985" i="19"/>
  <c r="C985" i="19"/>
  <c r="G984" i="19"/>
  <c r="C984" i="19"/>
  <c r="G983" i="19"/>
  <c r="C983" i="19"/>
  <c r="AF967" i="1"/>
  <c r="AG967" i="1" a="1"/>
  <c r="AH967" i="1" a="1"/>
  <c r="AI967" i="1" a="1"/>
  <c r="G967" i="17" a="1"/>
  <c r="F967" i="17"/>
  <c r="B967" i="14"/>
  <c r="I967" i="14"/>
  <c r="H967" i="14" s="1"/>
  <c r="J967" i="14"/>
  <c r="K967" i="14"/>
  <c r="L967" i="14"/>
  <c r="N967" i="14"/>
  <c r="O967" i="14"/>
  <c r="P967" i="14"/>
  <c r="Q967" i="14"/>
  <c r="AF966" i="1"/>
  <c r="AG966" i="1" a="1"/>
  <c r="AH966" i="1" a="1"/>
  <c r="AI966" i="1" a="1"/>
  <c r="G966" i="17" a="1"/>
  <c r="F966" i="17"/>
  <c r="B966" i="14"/>
  <c r="I966" i="14"/>
  <c r="J966" i="14"/>
  <c r="K966" i="14"/>
  <c r="L966" i="14"/>
  <c r="N966" i="14"/>
  <c r="O966" i="14"/>
  <c r="P966" i="14"/>
  <c r="Q966" i="14"/>
  <c r="AF965" i="1"/>
  <c r="AG965" i="1" a="1"/>
  <c r="AH965" i="1" a="1"/>
  <c r="AI965" i="1" a="1"/>
  <c r="G965" i="17" a="1"/>
  <c r="F965" i="17"/>
  <c r="B965" i="14"/>
  <c r="I965" i="14"/>
  <c r="J965" i="14"/>
  <c r="K965" i="14"/>
  <c r="L965" i="14"/>
  <c r="N965" i="14"/>
  <c r="O965" i="14"/>
  <c r="P965" i="14"/>
  <c r="Q965" i="1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AF963" i="1"/>
  <c r="AF964" i="1"/>
  <c r="AG963" i="1" a="1"/>
  <c r="AG964" i="1" a="1"/>
  <c r="AH963" i="1" a="1"/>
  <c r="AH964" i="1" a="1"/>
  <c r="AI963" i="1" a="1"/>
  <c r="AI964" i="1" a="1"/>
  <c r="G964" i="17" a="1"/>
  <c r="F964" i="17"/>
  <c r="G963" i="17" a="1"/>
  <c r="F963" i="17"/>
  <c r="Q964" i="14"/>
  <c r="Q963" i="14"/>
  <c r="Q962" i="14"/>
  <c r="Q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F961" i="17"/>
  <c r="F962" i="17"/>
  <c r="G961" i="17" a="1"/>
  <c r="G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G960" i="17" a="1"/>
  <c r="F960" i="17"/>
  <c r="B960" i="14"/>
  <c r="I960" i="14"/>
  <c r="J960" i="14"/>
  <c r="K960" i="14"/>
  <c r="L960" i="14"/>
  <c r="N960" i="14"/>
  <c r="O960" i="14"/>
  <c r="P960" i="14"/>
  <c r="Q960" i="14"/>
  <c r="AF959" i="1"/>
  <c r="AG959" i="1" a="1"/>
  <c r="AH959" i="1" a="1"/>
  <c r="AI959" i="1" a="1"/>
  <c r="G959" i="17" a="1"/>
  <c r="F959" i="17"/>
  <c r="B959" i="14"/>
  <c r="I959" i="14"/>
  <c r="J959" i="14"/>
  <c r="K959" i="14"/>
  <c r="L959" i="14"/>
  <c r="N959" i="14"/>
  <c r="O959" i="14"/>
  <c r="P959" i="14"/>
  <c r="Q959" i="14"/>
  <c r="AF958" i="1"/>
  <c r="AG958" i="1" a="1"/>
  <c r="AH958" i="1" a="1"/>
  <c r="AI958" i="1" a="1"/>
  <c r="G958" i="17" a="1"/>
  <c r="F958" i="17"/>
  <c r="B958" i="14"/>
  <c r="I958" i="14"/>
  <c r="J958" i="14"/>
  <c r="K958" i="14"/>
  <c r="L958" i="14"/>
  <c r="N958" i="14"/>
  <c r="O958" i="14"/>
  <c r="P958" i="14"/>
  <c r="Q958" i="14"/>
  <c r="AF957" i="1"/>
  <c r="AG957" i="1" a="1"/>
  <c r="AH957" i="1" a="1"/>
  <c r="AI957" i="1" a="1"/>
  <c r="R957" i="17"/>
  <c r="L957" i="17" s="1" a="1"/>
  <c r="M957" i="17" s="1"/>
  <c r="G957" i="17" a="1"/>
  <c r="F957" i="17"/>
  <c r="B957" i="14"/>
  <c r="I957" i="14"/>
  <c r="J957" i="14"/>
  <c r="K957" i="14"/>
  <c r="L957" i="14"/>
  <c r="N957" i="14"/>
  <c r="O957" i="14"/>
  <c r="P957" i="14"/>
  <c r="Q957" i="14"/>
  <c r="AF956" i="1"/>
  <c r="AG956" i="1" a="1"/>
  <c r="AH956" i="1" a="1"/>
  <c r="AI956" i="1" a="1"/>
  <c r="G956" i="17" a="1"/>
  <c r="F956" i="17"/>
  <c r="B956" i="14"/>
  <c r="I956" i="14"/>
  <c r="J956" i="14"/>
  <c r="K956" i="14"/>
  <c r="L956" i="14"/>
  <c r="N956" i="14"/>
  <c r="O956" i="14"/>
  <c r="P956" i="14"/>
  <c r="Q956" i="14"/>
  <c r="AF955" i="1"/>
  <c r="AG955" i="1" a="1"/>
  <c r="AH955" i="1" a="1"/>
  <c r="AI955" i="1" a="1"/>
  <c r="G955" i="17" a="1"/>
  <c r="F955" i="17"/>
  <c r="B955" i="14"/>
  <c r="I955" i="14"/>
  <c r="J955" i="14"/>
  <c r="K955" i="14"/>
  <c r="L955" i="14"/>
  <c r="N955" i="14"/>
  <c r="O955" i="14"/>
  <c r="P955" i="14"/>
  <c r="Q955" i="14"/>
  <c r="AF954" i="1"/>
  <c r="AG954" i="1" a="1"/>
  <c r="AH954" i="1" a="1"/>
  <c r="AI954" i="1" a="1"/>
  <c r="G954" i="17" a="1"/>
  <c r="F954" i="17"/>
  <c r="B954" i="14"/>
  <c r="I954" i="14"/>
  <c r="J954" i="14"/>
  <c r="K954" i="14"/>
  <c r="L954" i="14"/>
  <c r="N954" i="14"/>
  <c r="O954" i="14"/>
  <c r="P954" i="14"/>
  <c r="Q954" i="14"/>
  <c r="AF953" i="1"/>
  <c r="AG953" i="1" a="1"/>
  <c r="AH953" i="1" a="1"/>
  <c r="AI953" i="1" a="1"/>
  <c r="F953" i="17"/>
  <c r="G953" i="17" a="1"/>
  <c r="B953" i="14"/>
  <c r="I953" i="14"/>
  <c r="J953" i="14"/>
  <c r="K953" i="14"/>
  <c r="L953" i="14"/>
  <c r="N953" i="14"/>
  <c r="O953" i="14"/>
  <c r="P953" i="14"/>
  <c r="Q953" i="14"/>
  <c r="AF952" i="1"/>
  <c r="AG952" i="1" a="1"/>
  <c r="AH952" i="1" a="1"/>
  <c r="AI952" i="1" a="1"/>
  <c r="G952" i="17" a="1"/>
  <c r="F952" i="17"/>
  <c r="B952" i="14"/>
  <c r="I952" i="14"/>
  <c r="J952" i="14"/>
  <c r="K952" i="14"/>
  <c r="L952" i="14"/>
  <c r="N952" i="14"/>
  <c r="O952" i="14"/>
  <c r="P952" i="14"/>
  <c r="Q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G988" i="24"/>
  <c r="F988" i="24"/>
  <c r="H988" i="24" s="1"/>
  <c r="E988" i="24"/>
  <c r="D988" i="24"/>
  <c r="B988" i="24" a="1"/>
  <c r="G987" i="24"/>
  <c r="F987" i="24"/>
  <c r="H987" i="24" s="1"/>
  <c r="E987" i="24"/>
  <c r="D987" i="24"/>
  <c r="B987" i="24" a="1"/>
  <c r="G986" i="24"/>
  <c r="F986" i="24"/>
  <c r="H986" i="24" s="1"/>
  <c r="E986" i="24"/>
  <c r="D986" i="24"/>
  <c r="B986" i="24" a="1"/>
  <c r="G985" i="24"/>
  <c r="F985" i="24"/>
  <c r="D985" i="24"/>
  <c r="B985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Q951" i="14"/>
  <c r="F951" i="17"/>
  <c r="G951" i="17" a="1"/>
  <c r="AF950" i="1"/>
  <c r="AG950" i="1" a="1"/>
  <c r="AH950" i="1" a="1"/>
  <c r="AI950" i="1" a="1"/>
  <c r="F950" i="17"/>
  <c r="G950" i="17" a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G949" i="1" a="1"/>
  <c r="AH948" i="1" a="1"/>
  <c r="AH949" i="1" a="1"/>
  <c r="AI948" i="1" a="1"/>
  <c r="AI949" i="1" a="1"/>
  <c r="F949" i="17"/>
  <c r="F948" i="17"/>
  <c r="G948" i="17" a="1"/>
  <c r="G949" i="17" a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H947" i="1" a="1"/>
  <c r="AI947" i="1" a="1"/>
  <c r="G947" i="17" a="1"/>
  <c r="F947" i="17"/>
  <c r="B947" i="14"/>
  <c r="I947" i="14"/>
  <c r="J947" i="14"/>
  <c r="K947" i="14"/>
  <c r="L947" i="14"/>
  <c r="N947" i="14"/>
  <c r="O947" i="14"/>
  <c r="P947" i="14"/>
  <c r="Q947" i="14"/>
  <c r="AF946" i="1"/>
  <c r="AG946" i="1" a="1"/>
  <c r="AH946" i="1" a="1"/>
  <c r="AI946" i="1" a="1"/>
  <c r="G946" i="17" a="1"/>
  <c r="F946" i="17"/>
  <c r="B946" i="14"/>
  <c r="I946" i="14"/>
  <c r="J946" i="14"/>
  <c r="K946" i="14"/>
  <c r="L946" i="14"/>
  <c r="N946" i="14"/>
  <c r="O946" i="14"/>
  <c r="P946" i="14"/>
  <c r="Q946" i="14"/>
  <c r="AF945" i="1"/>
  <c r="AG945" i="1" a="1"/>
  <c r="AH945" i="1" a="1"/>
  <c r="AI945" i="1" a="1"/>
  <c r="G945" i="17" a="1"/>
  <c r="F945" i="17"/>
  <c r="B945" i="14"/>
  <c r="I945" i="14"/>
  <c r="J945" i="14"/>
  <c r="K945" i="14"/>
  <c r="L945" i="14"/>
  <c r="N945" i="14"/>
  <c r="O945" i="14"/>
  <c r="P945" i="14"/>
  <c r="Q945" i="14"/>
  <c r="AF944" i="1"/>
  <c r="AG944" i="1" a="1"/>
  <c r="AH944" i="1" a="1"/>
  <c r="AI944" i="1" a="1"/>
  <c r="F944" i="17"/>
  <c r="G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H943" i="1" a="1"/>
  <c r="AI943" i="1" a="1"/>
  <c r="F943" i="17"/>
  <c r="G943" i="17" a="1"/>
  <c r="B943" i="14"/>
  <c r="I943" i="14"/>
  <c r="J943" i="14"/>
  <c r="K943" i="14"/>
  <c r="L943" i="14"/>
  <c r="N943" i="14"/>
  <c r="O943" i="14"/>
  <c r="P943" i="14"/>
  <c r="Q943" i="14"/>
  <c r="AF942" i="1"/>
  <c r="AG942" i="1" a="1"/>
  <c r="AH942" i="1" a="1"/>
  <c r="AI942" i="1" a="1"/>
  <c r="F942" i="17"/>
  <c r="G942" i="17" a="1"/>
  <c r="B942" i="14"/>
  <c r="I942" i="14"/>
  <c r="J942" i="14"/>
  <c r="K942" i="14"/>
  <c r="L942" i="14"/>
  <c r="N942" i="14"/>
  <c r="O942" i="14"/>
  <c r="P942" i="14"/>
  <c r="Q942" i="14"/>
  <c r="AF941" i="1"/>
  <c r="AG941" i="1" a="1"/>
  <c r="AH941" i="1" a="1"/>
  <c r="AI941" i="1" a="1"/>
  <c r="F941" i="17"/>
  <c r="G941" i="17" a="1"/>
  <c r="B941" i="14"/>
  <c r="I941" i="14"/>
  <c r="J941" i="14"/>
  <c r="K941" i="14"/>
  <c r="L941" i="14"/>
  <c r="N941" i="14"/>
  <c r="O941" i="14"/>
  <c r="P941" i="14"/>
  <c r="Q941" i="14"/>
  <c r="AF940" i="1"/>
  <c r="AG940" i="1" a="1"/>
  <c r="AH940" i="1" a="1"/>
  <c r="AI940" i="1" a="1"/>
  <c r="F940" i="17"/>
  <c r="G940" i="17" a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G939" i="17" a="1"/>
  <c r="F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Q938" i="17"/>
  <c r="F938" i="17"/>
  <c r="G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I937" i="17"/>
  <c r="F937" i="17"/>
  <c r="G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I936" i="17"/>
  <c r="F936" i="17"/>
  <c r="G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F935" i="17"/>
  <c r="G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S934" i="17"/>
  <c r="T934" i="17" s="1"/>
  <c r="F934" i="17"/>
  <c r="G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F933" i="17"/>
  <c r="G933" i="17" a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F932" i="17"/>
  <c r="G932" i="17" a="1"/>
  <c r="AF932" i="1"/>
  <c r="AG932" i="1" a="1"/>
  <c r="AH932" i="1" a="1"/>
  <c r="AI932" i="1" a="1"/>
  <c r="AF931" i="1"/>
  <c r="AG931" i="1" a="1"/>
  <c r="AH931" i="1" a="1"/>
  <c r="AI931" i="1" a="1"/>
  <c r="F931" i="17"/>
  <c r="G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F929" i="17"/>
  <c r="F930" i="17"/>
  <c r="G929" i="17" a="1"/>
  <c r="G930" i="17" a="1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F928" i="17"/>
  <c r="G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F926" i="17"/>
  <c r="F927" i="17"/>
  <c r="G926" i="17" a="1"/>
  <c r="G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F925" i="17"/>
  <c r="G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F923" i="17"/>
  <c r="F924" i="17"/>
  <c r="G923" i="17" a="1"/>
  <c r="G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F921" i="17"/>
  <c r="F922" i="17"/>
  <c r="G921" i="17" a="1"/>
  <c r="G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F920" i="17"/>
  <c r="G920" i="17" a="1"/>
  <c r="AF920" i="1"/>
  <c r="AG920" i="1" a="1"/>
  <c r="AH920" i="1" a="1"/>
  <c r="AI920" i="1" a="1"/>
  <c r="AF919" i="1"/>
  <c r="AG919" i="1" a="1"/>
  <c r="AH919" i="1" a="1"/>
  <c r="AI919" i="1" a="1"/>
  <c r="F919" i="17"/>
  <c r="G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F918" i="17"/>
  <c r="G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F917" i="17"/>
  <c r="G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F916" i="17"/>
  <c r="G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F915" i="17"/>
  <c r="G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F914" i="17"/>
  <c r="G914" i="17" a="1"/>
  <c r="AF912" i="1"/>
  <c r="AF913" i="1"/>
  <c r="AG912" i="1" a="1"/>
  <c r="AG913" i="1" a="1"/>
  <c r="AH912" i="1" a="1"/>
  <c r="AH913" i="1" a="1"/>
  <c r="AI912" i="1" a="1"/>
  <c r="AI913" i="1" a="1"/>
  <c r="G913" i="17" a="1"/>
  <c r="G912" i="17" a="1"/>
  <c r="F912" i="17"/>
  <c r="F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F911" i="17"/>
  <c r="G911" i="17" a="1"/>
  <c r="B911" i="14"/>
  <c r="I911" i="14"/>
  <c r="J911" i="14"/>
  <c r="K911" i="14"/>
  <c r="L911" i="14"/>
  <c r="N911" i="14"/>
  <c r="O911" i="14"/>
  <c r="P911" i="14"/>
  <c r="G910" i="17" a="1"/>
  <c r="AF910" i="1"/>
  <c r="AG910" i="1" a="1"/>
  <c r="AH910" i="1" a="1"/>
  <c r="AI910" i="1" a="1"/>
  <c r="F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I909" i="17"/>
  <c r="F909" i="17"/>
  <c r="G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F908" i="17"/>
  <c r="G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F907" i="17"/>
  <c r="G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G2" i="17" a="1"/>
  <c r="G3" i="17" a="1"/>
  <c r="G4" i="17" a="1"/>
  <c r="G5" i="17" a="1"/>
  <c r="G6" i="17" a="1"/>
  <c r="G7" i="17" a="1"/>
  <c r="G8" i="17" a="1"/>
  <c r="G9" i="17" a="1"/>
  <c r="G10" i="17" a="1"/>
  <c r="G11" i="17" a="1"/>
  <c r="G12" i="17" a="1"/>
  <c r="G13" i="17" a="1"/>
  <c r="G14" i="17" a="1"/>
  <c r="G15" i="17" a="1"/>
  <c r="G16" i="17" a="1"/>
  <c r="G17" i="17" a="1"/>
  <c r="G18" i="17" a="1"/>
  <c r="G19" i="17" a="1"/>
  <c r="G20" i="17" a="1"/>
  <c r="G21" i="17" a="1"/>
  <c r="G22" i="17" a="1"/>
  <c r="G23" i="17" a="1"/>
  <c r="G24" i="17" a="1"/>
  <c r="G25" i="17" a="1"/>
  <c r="G26" i="17" a="1"/>
  <c r="G27" i="17" a="1"/>
  <c r="G28" i="17" a="1"/>
  <c r="G29" i="17" a="1"/>
  <c r="G30" i="17" a="1"/>
  <c r="G31" i="17" a="1"/>
  <c r="G32" i="17" a="1"/>
  <c r="G33" i="17" a="1"/>
  <c r="G34" i="17" a="1"/>
  <c r="G35" i="17" a="1"/>
  <c r="G36" i="17" a="1"/>
  <c r="G37" i="17" a="1"/>
  <c r="G38" i="17" a="1"/>
  <c r="G39" i="17" a="1"/>
  <c r="G40" i="17" a="1"/>
  <c r="G41" i="17" a="1"/>
  <c r="G42" i="17" a="1"/>
  <c r="G43" i="17" a="1"/>
  <c r="G44" i="17" a="1"/>
  <c r="G45" i="17" a="1"/>
  <c r="G46" i="17" a="1"/>
  <c r="G47" i="17" a="1"/>
  <c r="G48" i="17" a="1"/>
  <c r="G49" i="17" a="1"/>
  <c r="G50" i="17" a="1"/>
  <c r="G51" i="17" a="1"/>
  <c r="G52" i="17" a="1"/>
  <c r="G53" i="17" a="1"/>
  <c r="G54" i="17" a="1"/>
  <c r="G55" i="17" a="1"/>
  <c r="G56" i="17" a="1"/>
  <c r="G57" i="17" a="1"/>
  <c r="G58" i="17" a="1"/>
  <c r="G59" i="17" a="1"/>
  <c r="G60" i="17" a="1"/>
  <c r="G61" i="17" a="1"/>
  <c r="G62" i="17" a="1"/>
  <c r="G63" i="17" a="1"/>
  <c r="G64" i="17" a="1"/>
  <c r="G65" i="17" a="1"/>
  <c r="G66" i="17" a="1"/>
  <c r="G67" i="17" a="1"/>
  <c r="G68" i="17" a="1"/>
  <c r="G69" i="17" a="1"/>
  <c r="G70" i="17" a="1"/>
  <c r="G71" i="17" a="1"/>
  <c r="G72" i="17" a="1"/>
  <c r="G73" i="17" a="1"/>
  <c r="G74" i="17" a="1"/>
  <c r="G75" i="17" a="1"/>
  <c r="G76" i="17" a="1"/>
  <c r="G77" i="17" a="1"/>
  <c r="G78" i="17" a="1"/>
  <c r="G79" i="17" a="1"/>
  <c r="G80" i="17" a="1"/>
  <c r="G81" i="17" a="1"/>
  <c r="G82" i="17" a="1"/>
  <c r="G83" i="17" a="1"/>
  <c r="G84" i="17" a="1"/>
  <c r="G85" i="17" a="1"/>
  <c r="G86" i="17" a="1"/>
  <c r="G87" i="17" a="1"/>
  <c r="G88" i="17" a="1"/>
  <c r="G89" i="17" a="1"/>
  <c r="G90" i="17" a="1"/>
  <c r="G91" i="17" a="1"/>
  <c r="G92" i="17" a="1"/>
  <c r="G93" i="17" a="1"/>
  <c r="G94" i="17" a="1"/>
  <c r="G95" i="17" a="1"/>
  <c r="G96" i="17" a="1"/>
  <c r="G97" i="17" a="1"/>
  <c r="G98" i="17" a="1"/>
  <c r="G99" i="17" a="1"/>
  <c r="G100" i="17" a="1"/>
  <c r="G101" i="17" a="1"/>
  <c r="G102" i="17" a="1"/>
  <c r="G103" i="17" a="1"/>
  <c r="G104" i="17" a="1"/>
  <c r="G105" i="17" a="1"/>
  <c r="G106" i="17" a="1"/>
  <c r="G107" i="17" a="1"/>
  <c r="G108" i="17" a="1"/>
  <c r="G109" i="17" a="1"/>
  <c r="G110" i="17" a="1"/>
  <c r="G111" i="17" a="1"/>
  <c r="G112" i="17" a="1"/>
  <c r="G113" i="17" a="1"/>
  <c r="G114" i="17" a="1"/>
  <c r="G115" i="17" a="1"/>
  <c r="G116" i="17" a="1"/>
  <c r="G117" i="17" a="1"/>
  <c r="G118" i="17" a="1"/>
  <c r="G119" i="17" a="1"/>
  <c r="G120" i="17" a="1"/>
  <c r="G121" i="17" a="1"/>
  <c r="G122" i="17" a="1"/>
  <c r="G123" i="17" a="1"/>
  <c r="G124" i="17" a="1"/>
  <c r="G125" i="17" a="1"/>
  <c r="G126" i="17" a="1"/>
  <c r="G127" i="17" a="1"/>
  <c r="G128" i="17" a="1"/>
  <c r="G129" i="17" a="1"/>
  <c r="G130" i="17" a="1"/>
  <c r="G131" i="17" a="1"/>
  <c r="G132" i="17" a="1"/>
  <c r="G133" i="17" a="1"/>
  <c r="G134" i="17" a="1"/>
  <c r="G135" i="17" a="1"/>
  <c r="G136" i="17" a="1"/>
  <c r="G137" i="17" a="1"/>
  <c r="G138" i="17" a="1"/>
  <c r="G139" i="17" a="1"/>
  <c r="G140" i="17" a="1"/>
  <c r="G141" i="17" a="1"/>
  <c r="G142" i="17" a="1"/>
  <c r="G143" i="17" a="1"/>
  <c r="G144" i="17" a="1"/>
  <c r="G145" i="17" a="1"/>
  <c r="G146" i="17" a="1"/>
  <c r="G147" i="17" a="1"/>
  <c r="G148" i="17" a="1"/>
  <c r="G149" i="17" a="1"/>
  <c r="G150" i="17" a="1"/>
  <c r="G151" i="17" a="1"/>
  <c r="G152" i="17" a="1"/>
  <c r="G153" i="17" a="1"/>
  <c r="G154" i="17" a="1"/>
  <c r="G155" i="17" a="1"/>
  <c r="G156" i="17" a="1"/>
  <c r="G157" i="17" a="1"/>
  <c r="G158" i="17" a="1"/>
  <c r="G159" i="17" a="1"/>
  <c r="G160" i="17" a="1"/>
  <c r="G161" i="17" a="1"/>
  <c r="G162" i="17" a="1"/>
  <c r="G163" i="17" a="1"/>
  <c r="G164" i="17" a="1"/>
  <c r="G165" i="17" a="1"/>
  <c r="G166" i="17" a="1"/>
  <c r="G167" i="17" a="1"/>
  <c r="G168" i="17" a="1"/>
  <c r="G169" i="17" a="1"/>
  <c r="G170" i="17" a="1"/>
  <c r="G171" i="17" a="1"/>
  <c r="G172" i="17" a="1"/>
  <c r="G173" i="17" a="1"/>
  <c r="G174" i="17" a="1"/>
  <c r="G175" i="17" a="1"/>
  <c r="G176" i="17" a="1"/>
  <c r="G177" i="17" a="1"/>
  <c r="G178" i="17" a="1"/>
  <c r="G179" i="17" a="1"/>
  <c r="G180" i="17" a="1"/>
  <c r="G181" i="17" a="1"/>
  <c r="G182" i="17" a="1"/>
  <c r="G183" i="17" a="1"/>
  <c r="G184" i="17" a="1"/>
  <c r="G185" i="17" a="1"/>
  <c r="G186" i="17" a="1"/>
  <c r="G187" i="17" a="1"/>
  <c r="G188" i="17" a="1"/>
  <c r="G189" i="17" a="1"/>
  <c r="G190" i="17" a="1"/>
  <c r="G191" i="17" a="1"/>
  <c r="G192" i="17" a="1"/>
  <c r="G193" i="17" a="1"/>
  <c r="G194" i="17" a="1"/>
  <c r="G195" i="17" a="1"/>
  <c r="G196" i="17" a="1"/>
  <c r="G197" i="17" a="1"/>
  <c r="G198" i="17" a="1"/>
  <c r="G199" i="17" a="1"/>
  <c r="G200" i="17" a="1"/>
  <c r="G201" i="17" a="1"/>
  <c r="G202" i="17" a="1"/>
  <c r="G203" i="17" a="1"/>
  <c r="G204" i="17" a="1"/>
  <c r="G205" i="17" a="1"/>
  <c r="G206" i="17" a="1"/>
  <c r="G207" i="17" a="1"/>
  <c r="G208" i="17" a="1"/>
  <c r="G209" i="17" a="1"/>
  <c r="G210" i="17" a="1"/>
  <c r="G211" i="17" a="1"/>
  <c r="G212" i="17" a="1"/>
  <c r="G213" i="17" a="1"/>
  <c r="G214" i="17" a="1"/>
  <c r="G215" i="17" a="1"/>
  <c r="G216" i="17" a="1"/>
  <c r="G217" i="17" a="1"/>
  <c r="G218" i="17" a="1"/>
  <c r="G219" i="17" a="1"/>
  <c r="G220" i="17" a="1"/>
  <c r="G221" i="17" a="1"/>
  <c r="G222" i="17" a="1"/>
  <c r="G223" i="17" a="1"/>
  <c r="G224" i="17" a="1"/>
  <c r="G225" i="17" a="1"/>
  <c r="G226" i="17" a="1"/>
  <c r="G227" i="17" a="1"/>
  <c r="G228" i="17" a="1"/>
  <c r="G229" i="17" a="1"/>
  <c r="G230" i="17" a="1"/>
  <c r="G231" i="17" a="1"/>
  <c r="G232" i="17" a="1"/>
  <c r="G233" i="17" a="1"/>
  <c r="G234" i="17" a="1"/>
  <c r="G235" i="17" a="1"/>
  <c r="G236" i="17" a="1"/>
  <c r="G237" i="17" a="1"/>
  <c r="G238" i="17" a="1"/>
  <c r="G239" i="17" a="1"/>
  <c r="G240" i="17" a="1"/>
  <c r="G241" i="17" a="1"/>
  <c r="G242" i="17" a="1"/>
  <c r="G243" i="17" a="1"/>
  <c r="G244" i="17" a="1"/>
  <c r="G245" i="17" a="1"/>
  <c r="G246" i="17" a="1"/>
  <c r="G247" i="17" a="1"/>
  <c r="G248" i="17" a="1"/>
  <c r="G249" i="17" a="1"/>
  <c r="G250" i="17" a="1"/>
  <c r="G251" i="17" a="1"/>
  <c r="G252" i="17" a="1"/>
  <c r="G253" i="17" a="1"/>
  <c r="G254" i="17" a="1"/>
  <c r="G255" i="17" a="1"/>
  <c r="G256" i="17" a="1"/>
  <c r="G257" i="17" a="1"/>
  <c r="G258" i="17" a="1"/>
  <c r="G259" i="17" a="1"/>
  <c r="G260" i="17" a="1"/>
  <c r="G261" i="17" a="1"/>
  <c r="G262" i="17" a="1"/>
  <c r="G263" i="17" a="1"/>
  <c r="G264" i="17" a="1"/>
  <c r="G265" i="17" a="1"/>
  <c r="G266" i="17" a="1"/>
  <c r="G267" i="17" a="1"/>
  <c r="G268" i="17" a="1"/>
  <c r="G269" i="17" a="1"/>
  <c r="G270" i="17" a="1"/>
  <c r="G271" i="17" a="1"/>
  <c r="G272" i="17" a="1"/>
  <c r="G273" i="17" a="1"/>
  <c r="G274" i="17" a="1"/>
  <c r="G275" i="17" a="1"/>
  <c r="G276" i="17" a="1"/>
  <c r="G277" i="17" a="1"/>
  <c r="G278" i="17" a="1"/>
  <c r="G279" i="17" a="1"/>
  <c r="G280" i="17" a="1"/>
  <c r="G281" i="17" a="1"/>
  <c r="G282" i="17" a="1"/>
  <c r="G283" i="17" a="1"/>
  <c r="G284" i="17" a="1"/>
  <c r="G285" i="17" a="1"/>
  <c r="G286" i="17" a="1"/>
  <c r="G287" i="17" a="1"/>
  <c r="G288" i="17" a="1"/>
  <c r="G289" i="17" a="1"/>
  <c r="G290" i="17" a="1"/>
  <c r="G291" i="17" a="1"/>
  <c r="G292" i="17" a="1"/>
  <c r="G293" i="17" a="1"/>
  <c r="G294" i="17" a="1"/>
  <c r="G295" i="17" a="1"/>
  <c r="G296" i="17" a="1"/>
  <c r="G297" i="17" a="1"/>
  <c r="G298" i="17" a="1"/>
  <c r="G299" i="17" a="1"/>
  <c r="G300" i="17" a="1"/>
  <c r="G301" i="17" a="1"/>
  <c r="G302" i="17" a="1"/>
  <c r="G303" i="17" a="1"/>
  <c r="G304" i="17" a="1"/>
  <c r="G305" i="17" a="1"/>
  <c r="G306" i="17" a="1"/>
  <c r="G307" i="17" a="1"/>
  <c r="G308" i="17" a="1"/>
  <c r="G309" i="17" a="1"/>
  <c r="G310" i="17" a="1"/>
  <c r="G311" i="17" a="1"/>
  <c r="G312" i="17" a="1"/>
  <c r="G313" i="17" a="1"/>
  <c r="G314" i="17" a="1"/>
  <c r="G315" i="17" a="1"/>
  <c r="G316" i="17" a="1"/>
  <c r="G317" i="17" a="1"/>
  <c r="G318" i="17" a="1"/>
  <c r="G319" i="17" a="1"/>
  <c r="G320" i="17" a="1"/>
  <c r="G321" i="17" a="1"/>
  <c r="G322" i="17" a="1"/>
  <c r="G323" i="17" a="1"/>
  <c r="G324" i="17" a="1"/>
  <c r="G325" i="17" a="1"/>
  <c r="G326" i="17" a="1"/>
  <c r="G327" i="17" a="1"/>
  <c r="G328" i="17" a="1"/>
  <c r="G329" i="17" a="1"/>
  <c r="G330" i="17" a="1"/>
  <c r="G331" i="17" a="1"/>
  <c r="G332" i="17" a="1"/>
  <c r="G333" i="17" a="1"/>
  <c r="G334" i="17" a="1"/>
  <c r="G335" i="17" a="1"/>
  <c r="G336" i="17" a="1"/>
  <c r="G337" i="17" a="1"/>
  <c r="G338" i="17" a="1"/>
  <c r="G339" i="17" a="1"/>
  <c r="G340" i="17" a="1"/>
  <c r="G341" i="17" a="1"/>
  <c r="G342" i="17" a="1"/>
  <c r="G343" i="17" a="1"/>
  <c r="G344" i="17" a="1"/>
  <c r="G345" i="17" a="1"/>
  <c r="G346" i="17" a="1"/>
  <c r="G347" i="17" a="1"/>
  <c r="G348" i="17" a="1"/>
  <c r="G349" i="17" a="1"/>
  <c r="G350" i="17" a="1"/>
  <c r="G351" i="17" a="1"/>
  <c r="G352" i="17" a="1"/>
  <c r="G353" i="17" a="1"/>
  <c r="G354" i="17" a="1"/>
  <c r="G355" i="17" a="1"/>
  <c r="G356" i="17" a="1"/>
  <c r="G357" i="17" a="1"/>
  <c r="G358" i="17" a="1"/>
  <c r="G359" i="17" a="1"/>
  <c r="G360" i="17" a="1"/>
  <c r="G361" i="17" a="1"/>
  <c r="G362" i="17" a="1"/>
  <c r="G363" i="17" a="1"/>
  <c r="G364" i="17" a="1"/>
  <c r="G365" i="17" a="1"/>
  <c r="G366" i="17" a="1"/>
  <c r="G367" i="17" a="1"/>
  <c r="G368" i="17" a="1"/>
  <c r="G369" i="17" a="1"/>
  <c r="G370" i="17" a="1"/>
  <c r="G371" i="17" a="1"/>
  <c r="G372" i="17" a="1"/>
  <c r="G373" i="17" a="1"/>
  <c r="G374" i="17" a="1"/>
  <c r="G375" i="17" a="1"/>
  <c r="G376" i="17" a="1"/>
  <c r="G377" i="17" a="1"/>
  <c r="G378" i="17" a="1"/>
  <c r="G379" i="17" a="1"/>
  <c r="G380" i="17" a="1"/>
  <c r="G381" i="17" a="1"/>
  <c r="G382" i="17" a="1"/>
  <c r="G383" i="17" a="1"/>
  <c r="G384" i="17" a="1"/>
  <c r="G385" i="17" a="1"/>
  <c r="G386" i="17" a="1"/>
  <c r="G387" i="17" a="1"/>
  <c r="G388" i="17" a="1"/>
  <c r="G389" i="17" a="1"/>
  <c r="G390" i="17" a="1"/>
  <c r="G391" i="17" a="1"/>
  <c r="G392" i="17" a="1"/>
  <c r="G393" i="17" a="1"/>
  <c r="G394" i="17" a="1"/>
  <c r="G395" i="17" a="1"/>
  <c r="G396" i="17" a="1"/>
  <c r="G397" i="17" a="1"/>
  <c r="G398" i="17" a="1"/>
  <c r="G399" i="17" a="1"/>
  <c r="G400" i="17" a="1"/>
  <c r="G401" i="17" a="1"/>
  <c r="G402" i="17" a="1"/>
  <c r="G403" i="17" a="1"/>
  <c r="G404" i="17" a="1"/>
  <c r="G405" i="17" a="1"/>
  <c r="G406" i="17" a="1"/>
  <c r="G407" i="17" a="1"/>
  <c r="G408" i="17" a="1"/>
  <c r="G409" i="17" a="1"/>
  <c r="G410" i="17" a="1"/>
  <c r="G411" i="17" a="1"/>
  <c r="G412" i="17" a="1"/>
  <c r="G413" i="17" a="1"/>
  <c r="G414" i="17" a="1"/>
  <c r="G415" i="17" a="1"/>
  <c r="G416" i="17" a="1"/>
  <c r="G417" i="17" a="1"/>
  <c r="G418" i="17" a="1"/>
  <c r="G419" i="17" a="1"/>
  <c r="G420" i="17" a="1"/>
  <c r="G421" i="17" a="1"/>
  <c r="G422" i="17" a="1"/>
  <c r="G423" i="17" a="1"/>
  <c r="G424" i="17" a="1"/>
  <c r="G425" i="17" a="1"/>
  <c r="G426" i="17" a="1"/>
  <c r="G427" i="17" a="1"/>
  <c r="G428" i="17" a="1"/>
  <c r="G429" i="17" a="1"/>
  <c r="G430" i="17" a="1"/>
  <c r="G431" i="17" a="1"/>
  <c r="G432" i="17" a="1"/>
  <c r="G433" i="17" a="1"/>
  <c r="G434" i="17" a="1"/>
  <c r="G435" i="17" a="1"/>
  <c r="G436" i="17" a="1"/>
  <c r="G437" i="17" a="1"/>
  <c r="G438" i="17" a="1"/>
  <c r="G439" i="17" a="1"/>
  <c r="G440" i="17" a="1"/>
  <c r="G441" i="17" a="1"/>
  <c r="G442" i="17" a="1"/>
  <c r="G443" i="17" a="1"/>
  <c r="G444" i="17" a="1"/>
  <c r="G445" i="17" a="1"/>
  <c r="G446" i="17" a="1"/>
  <c r="G447" i="17" a="1"/>
  <c r="G448" i="17" a="1"/>
  <c r="G449" i="17" a="1"/>
  <c r="G450" i="17" a="1"/>
  <c r="G451" i="17" a="1"/>
  <c r="G452" i="17" a="1"/>
  <c r="G453" i="17" a="1"/>
  <c r="G454" i="17" a="1"/>
  <c r="G455" i="17" a="1"/>
  <c r="G456" i="17" a="1"/>
  <c r="G457" i="17" a="1"/>
  <c r="G458" i="17" a="1"/>
  <c r="G459" i="17" a="1"/>
  <c r="G460" i="17" a="1"/>
  <c r="G461" i="17" a="1"/>
  <c r="G462" i="17" a="1"/>
  <c r="G463" i="17" a="1"/>
  <c r="G464" i="17" a="1"/>
  <c r="G465" i="17" a="1"/>
  <c r="G466" i="17" a="1"/>
  <c r="G467" i="17" a="1"/>
  <c r="G468" i="17" a="1"/>
  <c r="G469" i="17" a="1"/>
  <c r="G470" i="17" a="1"/>
  <c r="G471" i="17" a="1"/>
  <c r="G472" i="17" a="1"/>
  <c r="G473" i="17" a="1"/>
  <c r="G474" i="17" a="1"/>
  <c r="G475" i="17" a="1"/>
  <c r="G476" i="17" a="1"/>
  <c r="G477" i="17" a="1"/>
  <c r="G478" i="17" a="1"/>
  <c r="G479" i="17" a="1"/>
  <c r="G480" i="17" a="1"/>
  <c r="G481" i="17" a="1"/>
  <c r="G482" i="17" a="1"/>
  <c r="G483" i="17" a="1"/>
  <c r="G484" i="17" a="1"/>
  <c r="G485" i="17" a="1"/>
  <c r="G486" i="17" a="1"/>
  <c r="G487" i="17" a="1"/>
  <c r="G488" i="17" a="1"/>
  <c r="G489" i="17" a="1"/>
  <c r="G490" i="17" a="1"/>
  <c r="G491" i="17" a="1"/>
  <c r="G492" i="17" a="1"/>
  <c r="G493" i="17" a="1"/>
  <c r="G494" i="17" a="1"/>
  <c r="G495" i="17" a="1"/>
  <c r="G496" i="17" a="1"/>
  <c r="G497" i="17" a="1"/>
  <c r="G498" i="17" a="1"/>
  <c r="G499" i="17" a="1"/>
  <c r="G500" i="17" a="1"/>
  <c r="G501" i="17" a="1"/>
  <c r="G502" i="17" a="1"/>
  <c r="G503" i="17" a="1"/>
  <c r="G504" i="17" a="1"/>
  <c r="G505" i="17" a="1"/>
  <c r="G506" i="17" a="1"/>
  <c r="G507" i="17" a="1"/>
  <c r="G508" i="17" a="1"/>
  <c r="G509" i="17" a="1"/>
  <c r="G510" i="17" a="1"/>
  <c r="G511" i="17" a="1"/>
  <c r="G512" i="17" a="1"/>
  <c r="G513" i="17" a="1"/>
  <c r="G514" i="17" a="1"/>
  <c r="G515" i="17" a="1"/>
  <c r="G516" i="17" a="1"/>
  <c r="G517" i="17" a="1"/>
  <c r="G518" i="17" a="1"/>
  <c r="G519" i="17" a="1"/>
  <c r="G520" i="17" a="1"/>
  <c r="G521" i="17" a="1"/>
  <c r="G522" i="17" a="1"/>
  <c r="G523" i="17" a="1"/>
  <c r="G524" i="17" a="1"/>
  <c r="G525" i="17" a="1"/>
  <c r="G526" i="17" a="1"/>
  <c r="G527" i="17" a="1"/>
  <c r="G528" i="17" a="1"/>
  <c r="G529" i="17" a="1"/>
  <c r="G530" i="17" a="1"/>
  <c r="G531" i="17" a="1"/>
  <c r="G532" i="17" a="1"/>
  <c r="G533" i="17" a="1"/>
  <c r="G534" i="17" a="1"/>
  <c r="G535" i="17" a="1"/>
  <c r="G536" i="17" a="1"/>
  <c r="G537" i="17" a="1"/>
  <c r="G538" i="17" a="1"/>
  <c r="G539" i="17" a="1"/>
  <c r="G540" i="17" a="1"/>
  <c r="G541" i="17" a="1"/>
  <c r="G542" i="17" a="1"/>
  <c r="G543" i="17" a="1"/>
  <c r="G544" i="17" a="1"/>
  <c r="G545" i="17" a="1"/>
  <c r="G546" i="17" a="1"/>
  <c r="G547" i="17" a="1"/>
  <c r="G548" i="17" a="1"/>
  <c r="G549" i="17" a="1"/>
  <c r="G550" i="17" a="1"/>
  <c r="G551" i="17" a="1"/>
  <c r="G552" i="17" a="1"/>
  <c r="G553" i="17" a="1"/>
  <c r="G554" i="17" a="1"/>
  <c r="G555" i="17" a="1"/>
  <c r="G556" i="17" a="1"/>
  <c r="G557" i="17" a="1"/>
  <c r="G558" i="17" a="1"/>
  <c r="G559" i="17" a="1"/>
  <c r="G560" i="17" a="1"/>
  <c r="G561" i="17" a="1"/>
  <c r="G562" i="17" a="1"/>
  <c r="G563" i="17" a="1"/>
  <c r="G564" i="17" a="1"/>
  <c r="G565" i="17" a="1"/>
  <c r="G566" i="17" a="1"/>
  <c r="G567" i="17" a="1"/>
  <c r="G568" i="17" a="1"/>
  <c r="G569" i="17" a="1"/>
  <c r="G570" i="17" a="1"/>
  <c r="G571" i="17" a="1"/>
  <c r="G572" i="17" a="1"/>
  <c r="G573" i="17" a="1"/>
  <c r="G574" i="17" a="1"/>
  <c r="G575" i="17" a="1"/>
  <c r="G576" i="17" a="1"/>
  <c r="G577" i="17" a="1"/>
  <c r="G578" i="17" a="1"/>
  <c r="G579" i="17" a="1"/>
  <c r="G580" i="17" a="1"/>
  <c r="G581" i="17" a="1"/>
  <c r="G582" i="17" a="1"/>
  <c r="G583" i="17" a="1"/>
  <c r="G584" i="17" a="1"/>
  <c r="G585" i="17" a="1"/>
  <c r="G586" i="17" a="1"/>
  <c r="G587" i="17" a="1"/>
  <c r="G588" i="17" a="1"/>
  <c r="G589" i="17" a="1"/>
  <c r="G590" i="17" a="1"/>
  <c r="G591" i="17" a="1"/>
  <c r="G592" i="17" a="1"/>
  <c r="G593" i="17" a="1"/>
  <c r="G594" i="17" a="1"/>
  <c r="G595" i="17" a="1"/>
  <c r="G596" i="17" a="1"/>
  <c r="G597" i="17" a="1"/>
  <c r="G598" i="17" a="1"/>
  <c r="G599" i="17" a="1"/>
  <c r="G600" i="17" a="1"/>
  <c r="G601" i="17" a="1"/>
  <c r="G602" i="17" a="1"/>
  <c r="G603" i="17" a="1"/>
  <c r="G604" i="17" a="1"/>
  <c r="G605" i="17" a="1"/>
  <c r="G606" i="17" a="1"/>
  <c r="G607" i="17" a="1"/>
  <c r="G608" i="17" a="1"/>
  <c r="G609" i="17" a="1"/>
  <c r="G610" i="17" a="1"/>
  <c r="G611" i="17" a="1"/>
  <c r="G612" i="17" a="1"/>
  <c r="G613" i="17" a="1"/>
  <c r="G614" i="17" a="1"/>
  <c r="G615" i="17" a="1"/>
  <c r="G616" i="17" a="1"/>
  <c r="G617" i="17" a="1"/>
  <c r="G618" i="17" a="1"/>
  <c r="G619" i="17" a="1"/>
  <c r="G620" i="17" a="1"/>
  <c r="G621" i="17" a="1"/>
  <c r="G622" i="17" a="1"/>
  <c r="G623" i="17" a="1"/>
  <c r="G624" i="17" a="1"/>
  <c r="G625" i="17" a="1"/>
  <c r="G626" i="17" a="1"/>
  <c r="G627" i="17" a="1"/>
  <c r="G628" i="17" a="1"/>
  <c r="G629" i="17" a="1"/>
  <c r="G630" i="17" a="1"/>
  <c r="G631" i="17" a="1"/>
  <c r="G632" i="17" a="1"/>
  <c r="G633" i="17" a="1"/>
  <c r="G634" i="17" a="1"/>
  <c r="G635" i="17" a="1"/>
  <c r="G636" i="17" a="1"/>
  <c r="G637" i="17" a="1"/>
  <c r="G638" i="17" a="1"/>
  <c r="G639" i="17" a="1"/>
  <c r="G640" i="17" a="1"/>
  <c r="G641" i="17" a="1"/>
  <c r="G642" i="17" a="1"/>
  <c r="G643" i="17" a="1"/>
  <c r="G644" i="17" a="1"/>
  <c r="G645" i="17" a="1"/>
  <c r="G646" i="17" a="1"/>
  <c r="G647" i="17" a="1"/>
  <c r="G648" i="17" a="1"/>
  <c r="G649" i="17" a="1"/>
  <c r="G650" i="17" a="1"/>
  <c r="G651" i="17" a="1"/>
  <c r="G652" i="17" a="1"/>
  <c r="G653" i="17" a="1"/>
  <c r="G654" i="17" a="1"/>
  <c r="G655" i="17" a="1"/>
  <c r="G656" i="17" a="1"/>
  <c r="G657" i="17" a="1"/>
  <c r="G658" i="17" a="1"/>
  <c r="G659" i="17" a="1"/>
  <c r="G660" i="17" a="1"/>
  <c r="G661" i="17" a="1"/>
  <c r="G662" i="17" a="1"/>
  <c r="G663" i="17" a="1"/>
  <c r="G664" i="17" a="1"/>
  <c r="G665" i="17" a="1"/>
  <c r="G666" i="17" a="1"/>
  <c r="G667" i="17" a="1"/>
  <c r="G668" i="17" a="1"/>
  <c r="G669" i="17" a="1"/>
  <c r="G670" i="17" a="1"/>
  <c r="G671" i="17" a="1"/>
  <c r="G672" i="17" a="1"/>
  <c r="G673" i="17" a="1"/>
  <c r="G674" i="17" a="1"/>
  <c r="G675" i="17" a="1"/>
  <c r="G676" i="17" a="1"/>
  <c r="G677" i="17" a="1"/>
  <c r="G678" i="17" a="1"/>
  <c r="G679" i="17" a="1"/>
  <c r="G680" i="17" a="1"/>
  <c r="G681" i="17" a="1"/>
  <c r="G682" i="17" a="1"/>
  <c r="G683" i="17" a="1"/>
  <c r="G684" i="17" a="1"/>
  <c r="G685" i="17" a="1"/>
  <c r="G686" i="17" a="1"/>
  <c r="G687" i="17" a="1"/>
  <c r="G688" i="17" a="1"/>
  <c r="G689" i="17" a="1"/>
  <c r="G690" i="17" a="1"/>
  <c r="G691" i="17" a="1"/>
  <c r="G692" i="17" a="1"/>
  <c r="G693" i="17" a="1"/>
  <c r="G694" i="17" a="1"/>
  <c r="G695" i="17" a="1"/>
  <c r="G696" i="17" a="1"/>
  <c r="G697" i="17" a="1"/>
  <c r="G698" i="17" a="1"/>
  <c r="G699" i="17" a="1"/>
  <c r="G700" i="17" a="1"/>
  <c r="G701" i="17" a="1"/>
  <c r="G702" i="17" a="1"/>
  <c r="G703" i="17" a="1"/>
  <c r="G704" i="17" a="1"/>
  <c r="G705" i="17" a="1"/>
  <c r="G706" i="17" a="1"/>
  <c r="G707" i="17" a="1"/>
  <c r="G708" i="17" a="1"/>
  <c r="G709" i="17" a="1"/>
  <c r="G710" i="17" a="1"/>
  <c r="G711" i="17" a="1"/>
  <c r="G712" i="17" a="1"/>
  <c r="G713" i="17" a="1"/>
  <c r="G714" i="17" a="1"/>
  <c r="G715" i="17" a="1"/>
  <c r="G716" i="17" a="1"/>
  <c r="G717" i="17" a="1"/>
  <c r="G718" i="17" a="1"/>
  <c r="G719" i="17" a="1"/>
  <c r="G720" i="17" a="1"/>
  <c r="G721" i="17" a="1"/>
  <c r="G722" i="17" a="1"/>
  <c r="G723" i="17" a="1"/>
  <c r="G724" i="17" a="1"/>
  <c r="G725" i="17" a="1"/>
  <c r="G726" i="17" a="1"/>
  <c r="G727" i="17" a="1"/>
  <c r="G728" i="17" a="1"/>
  <c r="G729" i="17" a="1"/>
  <c r="G730" i="17" a="1"/>
  <c r="G731" i="17" a="1"/>
  <c r="G732" i="17" a="1"/>
  <c r="G733" i="17" a="1"/>
  <c r="G734" i="17" a="1"/>
  <c r="G735" i="17" a="1"/>
  <c r="G736" i="17" a="1"/>
  <c r="G737" i="17" a="1"/>
  <c r="G738" i="17" a="1"/>
  <c r="G739" i="17" a="1"/>
  <c r="G740" i="17" a="1"/>
  <c r="G741" i="17" a="1"/>
  <c r="G742" i="17" a="1"/>
  <c r="G743" i="17" a="1"/>
  <c r="G744" i="17" a="1"/>
  <c r="G745" i="17" a="1"/>
  <c r="G746" i="17" a="1"/>
  <c r="G747" i="17" a="1"/>
  <c r="G748" i="17" a="1"/>
  <c r="G749" i="17" a="1"/>
  <c r="G750" i="17" a="1"/>
  <c r="G751" i="17" a="1"/>
  <c r="G752" i="17" a="1"/>
  <c r="G753" i="17" a="1"/>
  <c r="G754" i="17" a="1"/>
  <c r="G755" i="17" a="1"/>
  <c r="G756" i="17" a="1"/>
  <c r="G757" i="17" a="1"/>
  <c r="G758" i="17" a="1"/>
  <c r="G759" i="17" a="1"/>
  <c r="G760" i="17" a="1"/>
  <c r="G761" i="17" a="1"/>
  <c r="G762" i="17" a="1"/>
  <c r="G763" i="17" a="1"/>
  <c r="G764" i="17" a="1"/>
  <c r="G765" i="17" a="1"/>
  <c r="G766" i="17" a="1"/>
  <c r="G767" i="17" a="1"/>
  <c r="G768" i="17" a="1"/>
  <c r="G769" i="17" a="1"/>
  <c r="G770" i="17" a="1"/>
  <c r="G771" i="17" a="1"/>
  <c r="G772" i="17" a="1"/>
  <c r="G773" i="17" a="1"/>
  <c r="G774" i="17" a="1"/>
  <c r="G775" i="17" a="1"/>
  <c r="G776" i="17" a="1"/>
  <c r="G777" i="17" a="1"/>
  <c r="G778" i="17" a="1"/>
  <c r="G779" i="17" a="1"/>
  <c r="G780" i="17" a="1"/>
  <c r="G781" i="17" a="1"/>
  <c r="G782" i="17" a="1"/>
  <c r="G783" i="17" a="1"/>
  <c r="G784" i="17" a="1"/>
  <c r="G785" i="17" a="1"/>
  <c r="G786" i="17" a="1"/>
  <c r="G787" i="17" a="1"/>
  <c r="G788" i="17" a="1"/>
  <c r="G789" i="17" a="1"/>
  <c r="G790" i="17" a="1"/>
  <c r="G791" i="17" a="1"/>
  <c r="G792" i="17" a="1"/>
  <c r="G793" i="17" a="1"/>
  <c r="G794" i="17" a="1"/>
  <c r="G795" i="17" a="1"/>
  <c r="G796" i="17" a="1"/>
  <c r="G797" i="17" a="1"/>
  <c r="G798" i="17" a="1"/>
  <c r="G799" i="17" a="1"/>
  <c r="G800" i="17" a="1"/>
  <c r="G801" i="17" a="1"/>
  <c r="G802" i="17" a="1"/>
  <c r="G803" i="17" a="1"/>
  <c r="G804" i="17" a="1"/>
  <c r="G805" i="17" a="1"/>
  <c r="G806" i="17" a="1"/>
  <c r="G807" i="17" a="1"/>
  <c r="G808" i="17" a="1"/>
  <c r="G809" i="17" a="1"/>
  <c r="G810" i="17" a="1"/>
  <c r="G811" i="17" a="1"/>
  <c r="G812" i="17" a="1"/>
  <c r="G813" i="17" a="1"/>
  <c r="G814" i="17" a="1"/>
  <c r="G815" i="17" a="1"/>
  <c r="G816" i="17" a="1"/>
  <c r="G817" i="17" a="1"/>
  <c r="G818" i="17" a="1"/>
  <c r="G819" i="17" a="1"/>
  <c r="G820" i="17" a="1"/>
  <c r="G821" i="17" a="1"/>
  <c r="G822" i="17" a="1"/>
  <c r="G823" i="17" a="1"/>
  <c r="G824" i="17" a="1"/>
  <c r="G825" i="17" a="1"/>
  <c r="G826" i="17" a="1"/>
  <c r="G827" i="17" a="1"/>
  <c r="G828" i="17" a="1"/>
  <c r="G829" i="17" a="1"/>
  <c r="G830" i="17" a="1"/>
  <c r="G831" i="17" a="1"/>
  <c r="G832" i="17" a="1"/>
  <c r="G833" i="17" a="1"/>
  <c r="G834" i="17" a="1"/>
  <c r="G835" i="17" a="1"/>
  <c r="G836" i="17" a="1"/>
  <c r="G837" i="17" a="1"/>
  <c r="G838" i="17" a="1"/>
  <c r="G839" i="17" a="1"/>
  <c r="G840" i="17" a="1"/>
  <c r="G841" i="17" a="1"/>
  <c r="G842" i="17" a="1"/>
  <c r="G843" i="17" a="1"/>
  <c r="G844" i="17" a="1"/>
  <c r="G845" i="17" a="1"/>
  <c r="G846" i="17" a="1"/>
  <c r="G847" i="17" a="1"/>
  <c r="G848" i="17" a="1"/>
  <c r="G849" i="17" a="1"/>
  <c r="G850" i="17" a="1"/>
  <c r="G851" i="17" a="1"/>
  <c r="G852" i="17" a="1"/>
  <c r="G853" i="17" a="1"/>
  <c r="G854" i="17" a="1"/>
  <c r="G855" i="17" a="1"/>
  <c r="G856" i="17" a="1"/>
  <c r="G857" i="17" a="1"/>
  <c r="G858" i="17" a="1"/>
  <c r="G859" i="17" a="1"/>
  <c r="G860" i="17" a="1"/>
  <c r="G861" i="17" a="1"/>
  <c r="G862" i="17" a="1"/>
  <c r="G863" i="17" a="1"/>
  <c r="G864" i="17" a="1"/>
  <c r="G865" i="17" a="1"/>
  <c r="G866" i="17" a="1"/>
  <c r="G867" i="17" a="1"/>
  <c r="G868" i="17" a="1"/>
  <c r="G869" i="17" a="1"/>
  <c r="G870" i="17" a="1"/>
  <c r="G871" i="17" a="1"/>
  <c r="G872" i="17" a="1"/>
  <c r="G873" i="17" a="1"/>
  <c r="G874" i="17" a="1"/>
  <c r="G875" i="17" a="1"/>
  <c r="G876" i="17" a="1"/>
  <c r="G877" i="17" a="1"/>
  <c r="G878" i="17" a="1"/>
  <c r="G879" i="17" a="1"/>
  <c r="G880" i="17" a="1"/>
  <c r="G881" i="17" a="1"/>
  <c r="G882" i="17" a="1"/>
  <c r="G883" i="17" a="1"/>
  <c r="G884" i="17" a="1"/>
  <c r="G885" i="17" a="1"/>
  <c r="G886" i="17" a="1"/>
  <c r="G887" i="17" a="1"/>
  <c r="G888" i="17" a="1"/>
  <c r="G889" i="17" a="1"/>
  <c r="G890" i="17" a="1"/>
  <c r="G891" i="17" a="1"/>
  <c r="G892" i="17" a="1"/>
  <c r="G893" i="17" a="1"/>
  <c r="G894" i="17" a="1"/>
  <c r="G895" i="17" a="1"/>
  <c r="G896" i="17" a="1"/>
  <c r="G897" i="17" a="1"/>
  <c r="G898" i="17" a="1"/>
  <c r="G899" i="17" a="1"/>
  <c r="G900" i="17" a="1"/>
  <c r="G901" i="17" a="1"/>
  <c r="G902" i="17" a="1"/>
  <c r="G903" i="17" a="1"/>
  <c r="G904" i="17" a="1"/>
  <c r="G905" i="17" a="1"/>
  <c r="G906" i="17" a="1"/>
  <c r="F906" i="17"/>
  <c r="F905" i="17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I905" i="17"/>
  <c r="P905" i="17"/>
  <c r="T905" i="17" s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F904" i="17"/>
  <c r="AF903" i="1"/>
  <c r="AG903" i="1" a="1"/>
  <c r="AH903" i="1" a="1"/>
  <c r="AI903" i="1" a="1"/>
  <c r="F903" i="17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P902" i="17"/>
  <c r="T902" i="17" s="1"/>
  <c r="I902" i="17"/>
  <c r="F902" i="17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F901" i="17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F900" i="17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S899" i="17"/>
  <c r="T899" i="17" s="1"/>
  <c r="F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S898" i="17"/>
  <c r="T898" i="17" s="1"/>
  <c r="F898" i="17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F897" i="17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F896" i="17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Q895" i="17"/>
  <c r="F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P894" i="17"/>
  <c r="T894" i="17" s="1"/>
  <c r="I894" i="17"/>
  <c r="F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F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P892" i="17"/>
  <c r="T892" i="17" s="1"/>
  <c r="I892" i="17"/>
  <c r="F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F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F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F889" i="17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F888" i="17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F887" i="17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P886" i="14"/>
  <c r="O886" i="14"/>
  <c r="N886" i="14"/>
  <c r="L886" i="14"/>
  <c r="K886" i="14"/>
  <c r="J886" i="14"/>
  <c r="I886" i="14"/>
  <c r="H886" i="14" s="1"/>
  <c r="B886" i="14"/>
  <c r="F886" i="17"/>
  <c r="AF885" i="1"/>
  <c r="AG885" i="1" a="1"/>
  <c r="AH885" i="1" a="1"/>
  <c r="AI885" i="1" a="1"/>
  <c r="F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F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F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F882" i="17"/>
  <c r="P882" i="14"/>
  <c r="O882" i="14"/>
  <c r="N882" i="14"/>
  <c r="L882" i="14"/>
  <c r="K882" i="14"/>
  <c r="J882" i="14"/>
  <c r="I882" i="14"/>
  <c r="H882" i="14" s="1"/>
  <c r="B882" i="14"/>
  <c r="AF881" i="1"/>
  <c r="AG881" i="1" a="1"/>
  <c r="AH881" i="1" a="1"/>
  <c r="AI881" i="1" a="1"/>
  <c r="F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S880" i="17"/>
  <c r="T880" i="17" s="1"/>
  <c r="F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F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F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S877" i="17"/>
  <c r="T877" i="17" s="1"/>
  <c r="F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S876" i="17"/>
  <c r="T876" i="17" s="1"/>
  <c r="F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S875" i="17"/>
  <c r="T875" i="17" s="1"/>
  <c r="F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S874" i="17"/>
  <c r="T874" i="17" s="1"/>
  <c r="F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F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S872" i="17"/>
  <c r="T872" i="17" s="1"/>
  <c r="F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F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F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F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F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F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F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F865" i="17"/>
  <c r="AF865" i="1"/>
  <c r="AG865" i="1" a="1"/>
  <c r="AH865" i="1" a="1"/>
  <c r="AI865" i="1" a="1"/>
  <c r="F864" i="17"/>
  <c r="F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F862" i="17"/>
  <c r="AF861" i="1"/>
  <c r="AG861" i="1" a="1"/>
  <c r="AH861" i="1" a="1"/>
  <c r="AI861" i="1" a="1"/>
  <c r="F861" i="17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F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F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F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F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F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F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F854" i="17"/>
  <c r="B854" i="14"/>
  <c r="I854" i="14"/>
  <c r="H854" i="14" s="1"/>
  <c r="J854" i="14"/>
  <c r="K854" i="14"/>
  <c r="L854" i="14"/>
  <c r="N854" i="14"/>
  <c r="O854" i="14"/>
  <c r="P854" i="14"/>
  <c r="F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F852" i="17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F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F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F849" i="17"/>
  <c r="B849" i="14"/>
  <c r="I849" i="14"/>
  <c r="H849" i="14" s="1"/>
  <c r="J849" i="14"/>
  <c r="K849" i="14"/>
  <c r="L849" i="14"/>
  <c r="N849" i="14"/>
  <c r="O849" i="14"/>
  <c r="P849" i="14"/>
  <c r="F848" i="17"/>
  <c r="AF848" i="1"/>
  <c r="AG848" i="1" a="1"/>
  <c r="AH848" i="1" a="1"/>
  <c r="AI848" i="1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F847" i="17"/>
  <c r="B847" i="14"/>
  <c r="I847" i="14"/>
  <c r="H847" i="14" s="1"/>
  <c r="J847" i="14"/>
  <c r="K847" i="14"/>
  <c r="L847" i="14"/>
  <c r="N847" i="14"/>
  <c r="O847" i="14"/>
  <c r="P847" i="14"/>
  <c r="F846" i="17"/>
  <c r="AF846" i="1"/>
  <c r="AG846" i="1" a="1"/>
  <c r="AH846" i="1" a="1"/>
  <c r="AI846" i="1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F845" i="17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F844" i="17"/>
  <c r="P844" i="14"/>
  <c r="O844" i="14"/>
  <c r="N844" i="14"/>
  <c r="L844" i="14"/>
  <c r="K844" i="14"/>
  <c r="J844" i="14"/>
  <c r="I844" i="14"/>
  <c r="H844" i="14" s="1"/>
  <c r="B844" i="14"/>
  <c r="F843" i="17"/>
  <c r="AF843" i="1"/>
  <c r="AG843" i="1" a="1"/>
  <c r="AH843" i="1" a="1"/>
  <c r="AI843" i="1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F842" i="17"/>
  <c r="P842" i="14"/>
  <c r="O842" i="14"/>
  <c r="N842" i="14"/>
  <c r="L842" i="14"/>
  <c r="K842" i="14"/>
  <c r="J842" i="14"/>
  <c r="I842" i="14"/>
  <c r="H842" i="14" s="1"/>
  <c r="B842" i="14"/>
  <c r="F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F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F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F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F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F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F835" i="17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F834" i="17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X833" i="17"/>
  <c r="I833" i="17"/>
  <c r="P833" i="17"/>
  <c r="T833" i="17" s="1"/>
  <c r="F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Q832" i="17"/>
  <c r="I832" i="17"/>
  <c r="F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F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F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F829" i="17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F828" i="17"/>
  <c r="B828" i="14"/>
  <c r="I828" i="14"/>
  <c r="H828" i="14" s="1"/>
  <c r="J828" i="14"/>
  <c r="K828" i="14"/>
  <c r="L828" i="14"/>
  <c r="N828" i="14"/>
  <c r="O828" i="14"/>
  <c r="P828" i="14"/>
  <c r="F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F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F825" i="17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Q824" i="17"/>
  <c r="F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F823" i="17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P822" i="17"/>
  <c r="T822" i="17" s="1"/>
  <c r="F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F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F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F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F818" i="17"/>
  <c r="P818" i="14"/>
  <c r="O818" i="14"/>
  <c r="N818" i="14"/>
  <c r="L818" i="14"/>
  <c r="K818" i="14"/>
  <c r="J818" i="14"/>
  <c r="I818" i="14"/>
  <c r="H818" i="14" s="1"/>
  <c r="B818" i="14"/>
  <c r="AF817" i="1"/>
  <c r="I817" i="17"/>
  <c r="P817" i="17"/>
  <c r="T817" i="17" s="1"/>
  <c r="F817" i="17"/>
  <c r="P817" i="14"/>
  <c r="O817" i="14"/>
  <c r="N817" i="14"/>
  <c r="L817" i="14"/>
  <c r="K817" i="14"/>
  <c r="J817" i="14"/>
  <c r="I817" i="14"/>
  <c r="H817" i="14" s="1"/>
  <c r="B817" i="14"/>
  <c r="AF816" i="1"/>
  <c r="P816" i="17"/>
  <c r="T816" i="17" s="1"/>
  <c r="I816" i="17"/>
  <c r="F816" i="17"/>
  <c r="P816" i="14"/>
  <c r="O816" i="14"/>
  <c r="N816" i="14"/>
  <c r="L816" i="14"/>
  <c r="K816" i="14"/>
  <c r="J816" i="14"/>
  <c r="I816" i="14"/>
  <c r="H816" i="14" s="1"/>
  <c r="B816" i="14"/>
  <c r="AF815" i="1"/>
  <c r="I815" i="17"/>
  <c r="F815" i="17"/>
  <c r="P815" i="14"/>
  <c r="O815" i="14"/>
  <c r="N815" i="14"/>
  <c r="L815" i="14"/>
  <c r="K815" i="14"/>
  <c r="J815" i="14"/>
  <c r="I815" i="14"/>
  <c r="H815" i="14" s="1"/>
  <c r="B815" i="14"/>
  <c r="B805" i="14"/>
  <c r="K101" i="17"/>
  <c r="K97" i="17"/>
  <c r="K95" i="17"/>
  <c r="K94" i="17"/>
  <c r="K93" i="17"/>
  <c r="K90" i="17"/>
  <c r="K86" i="17"/>
  <c r="K83" i="17"/>
  <c r="AF814" i="1"/>
  <c r="F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F807" i="17"/>
  <c r="F808" i="17"/>
  <c r="F809" i="17"/>
  <c r="F810" i="17"/>
  <c r="F811" i="17"/>
  <c r="F812" i="17"/>
  <c r="F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F805" i="17"/>
  <c r="F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F804" i="17"/>
  <c r="AF804" i="1"/>
  <c r="P804" i="14"/>
  <c r="O804" i="14"/>
  <c r="N804" i="14"/>
  <c r="L804" i="14"/>
  <c r="K804" i="14"/>
  <c r="J804" i="14"/>
  <c r="I804" i="14"/>
  <c r="H804" i="14" s="1"/>
  <c r="AF803" i="1"/>
  <c r="F803" i="17"/>
  <c r="B803" i="14"/>
  <c r="I803" i="14"/>
  <c r="H803" i="14" s="1"/>
  <c r="J803" i="14"/>
  <c r="K803" i="14"/>
  <c r="L803" i="14"/>
  <c r="N803" i="14"/>
  <c r="O803" i="14"/>
  <c r="P803" i="14"/>
  <c r="AF802" i="1"/>
  <c r="F802" i="17"/>
  <c r="B802" i="14"/>
  <c r="I802" i="14"/>
  <c r="H802" i="14" s="1"/>
  <c r="J802" i="14"/>
  <c r="K802" i="14"/>
  <c r="L802" i="14"/>
  <c r="N802" i="14"/>
  <c r="O802" i="14"/>
  <c r="P802" i="14"/>
  <c r="AF801" i="1"/>
  <c r="F801" i="17"/>
  <c r="B801" i="14"/>
  <c r="I801" i="14"/>
  <c r="H801" i="14" s="1"/>
  <c r="J801" i="14"/>
  <c r="K801" i="14"/>
  <c r="L801" i="14"/>
  <c r="N801" i="14"/>
  <c r="O801" i="14"/>
  <c r="P801" i="14"/>
  <c r="AF800" i="1"/>
  <c r="F800" i="17"/>
  <c r="B800" i="14"/>
  <c r="I800" i="14"/>
  <c r="H800" i="14" s="1"/>
  <c r="J800" i="14"/>
  <c r="K800" i="14"/>
  <c r="L800" i="14"/>
  <c r="N800" i="14"/>
  <c r="O800" i="14"/>
  <c r="P800" i="14"/>
  <c r="AF799" i="1"/>
  <c r="F799" i="17"/>
  <c r="B799" i="14"/>
  <c r="I799" i="14"/>
  <c r="H799" i="14" s="1"/>
  <c r="J799" i="14"/>
  <c r="K799" i="14"/>
  <c r="L799" i="14"/>
  <c r="N799" i="14"/>
  <c r="O799" i="14"/>
  <c r="P799" i="14"/>
  <c r="AF798" i="1"/>
  <c r="F798" i="17"/>
  <c r="B798" i="14"/>
  <c r="I798" i="14"/>
  <c r="H798" i="14" s="1"/>
  <c r="J798" i="14"/>
  <c r="K798" i="14"/>
  <c r="L798" i="14"/>
  <c r="N798" i="14"/>
  <c r="O798" i="14"/>
  <c r="P798" i="14"/>
  <c r="AF797" i="1"/>
  <c r="F797" i="17"/>
  <c r="B797" i="14"/>
  <c r="I797" i="14"/>
  <c r="H797" i="14" s="1"/>
  <c r="J797" i="14"/>
  <c r="K797" i="14"/>
  <c r="L797" i="14"/>
  <c r="N797" i="14"/>
  <c r="O797" i="14"/>
  <c r="P797" i="14"/>
  <c r="AF796" i="1"/>
  <c r="F796" i="17"/>
  <c r="B796" i="14"/>
  <c r="I796" i="14"/>
  <c r="H796" i="14" s="1"/>
  <c r="J796" i="14"/>
  <c r="K796" i="14"/>
  <c r="L796" i="14"/>
  <c r="N796" i="14"/>
  <c r="O796" i="14"/>
  <c r="P796" i="14"/>
  <c r="AF795" i="1"/>
  <c r="P795" i="14"/>
  <c r="O795" i="14"/>
  <c r="N795" i="14"/>
  <c r="L795" i="14"/>
  <c r="K795" i="14"/>
  <c r="J795" i="14"/>
  <c r="I795" i="14"/>
  <c r="H795" i="14" s="1"/>
  <c r="F795" i="17"/>
  <c r="B795" i="14"/>
  <c r="AF794" i="1"/>
  <c r="F794" i="17"/>
  <c r="P794" i="14"/>
  <c r="O794" i="14"/>
  <c r="N794" i="14"/>
  <c r="L794" i="14"/>
  <c r="K794" i="14"/>
  <c r="J794" i="14"/>
  <c r="I794" i="14"/>
  <c r="H794" i="14" s="1"/>
  <c r="B794" i="14"/>
  <c r="AF793" i="1"/>
  <c r="R793" i="17"/>
  <c r="L793" i="17" s="1" a="1"/>
  <c r="M793" i="17" s="1"/>
  <c r="F793" i="17"/>
  <c r="B793" i="14"/>
  <c r="I793" i="14"/>
  <c r="H793" i="14" s="1"/>
  <c r="J793" i="14"/>
  <c r="K793" i="14"/>
  <c r="L793" i="14"/>
  <c r="N793" i="14"/>
  <c r="O793" i="14"/>
  <c r="P793" i="14"/>
  <c r="A2" i="24" a="1"/>
  <c r="F2" i="17"/>
  <c r="F3" i="17"/>
  <c r="P754" i="17"/>
  <c r="T754" i="17" s="1"/>
  <c r="S630" i="17"/>
  <c r="T630" i="17" s="1"/>
  <c r="S629" i="17"/>
  <c r="T629" i="17" s="1"/>
  <c r="Q646" i="17"/>
  <c r="Q628" i="17"/>
  <c r="Q626" i="17"/>
  <c r="X624" i="17"/>
  <c r="I624" i="17"/>
  <c r="S622" i="17"/>
  <c r="T622" i="17" s="1"/>
  <c r="Q621" i="17"/>
  <c r="Q618" i="17"/>
  <c r="I571" i="17"/>
  <c r="Q562" i="17"/>
  <c r="S560" i="17"/>
  <c r="T560" i="17" s="1"/>
  <c r="S558" i="17"/>
  <c r="T558" i="17" s="1"/>
  <c r="S559" i="17"/>
  <c r="T559" i="17" s="1"/>
  <c r="I556" i="17"/>
  <c r="X556" i="17"/>
  <c r="S556" i="17"/>
  <c r="P556" i="17"/>
  <c r="Q555" i="17"/>
  <c r="Q554" i="17"/>
  <c r="S554" i="17"/>
  <c r="T554" i="17" s="1"/>
  <c r="Q553" i="17"/>
  <c r="Q552" i="17"/>
  <c r="P552" i="17"/>
  <c r="T552" i="17" s="1"/>
  <c r="Q550" i="17"/>
  <c r="S549" i="17"/>
  <c r="T549" i="17" s="1"/>
  <c r="S548" i="17"/>
  <c r="T548" i="17" s="1"/>
  <c r="I547" i="17"/>
  <c r="X547" i="17"/>
  <c r="S545" i="17"/>
  <c r="T545" i="17" s="1"/>
  <c r="Q544" i="17"/>
  <c r="Q543" i="17"/>
  <c r="Q542" i="17"/>
  <c r="I540" i="17"/>
  <c r="X540" i="17"/>
  <c r="I539" i="17"/>
  <c r="X539" i="17"/>
  <c r="S538" i="17"/>
  <c r="P538" i="17"/>
  <c r="I537" i="17"/>
  <c r="X537" i="17"/>
  <c r="P537" i="17"/>
  <c r="T537" i="17" s="1"/>
  <c r="P536" i="17"/>
  <c r="S536" i="17"/>
  <c r="T536" i="17" s="1"/>
  <c r="I536" i="17"/>
  <c r="X536" i="17"/>
  <c r="S535" i="17"/>
  <c r="T535" i="17" s="1"/>
  <c r="S534" i="17"/>
  <c r="T534" i="17" s="1"/>
  <c r="S533" i="17"/>
  <c r="T533" i="17" s="1"/>
  <c r="P532" i="17"/>
  <c r="X532" i="17"/>
  <c r="Q532" i="17"/>
  <c r="S532" i="17"/>
  <c r="T532" i="17" s="1"/>
  <c r="S531" i="17"/>
  <c r="T531" i="17" s="1"/>
  <c r="S530" i="17"/>
  <c r="P530" i="17"/>
  <c r="Q529" i="17"/>
  <c r="S529" i="17"/>
  <c r="T529" i="17" s="1"/>
  <c r="X528" i="17"/>
  <c r="I528" i="17"/>
  <c r="Q528" i="17"/>
  <c r="S527" i="17"/>
  <c r="T527" i="17" s="1"/>
  <c r="S526" i="17"/>
  <c r="T526" i="17" s="1"/>
  <c r="Q526" i="17"/>
  <c r="P525" i="17"/>
  <c r="S525" i="17"/>
  <c r="T525" i="17" s="1"/>
  <c r="S524" i="17"/>
  <c r="T524" i="17" s="1"/>
  <c r="S523" i="17"/>
  <c r="T523" i="17" s="1"/>
  <c r="I523" i="17"/>
  <c r="X523" i="17"/>
  <c r="S522" i="17"/>
  <c r="T522" i="17" s="1"/>
  <c r="S521" i="17"/>
  <c r="T521" i="17" s="1"/>
  <c r="S520" i="17"/>
  <c r="T520" i="17" s="1"/>
  <c r="S519" i="17"/>
  <c r="P519" i="17"/>
  <c r="I519" i="17"/>
  <c r="X519" i="17"/>
  <c r="P516" i="17"/>
  <c r="S518" i="17"/>
  <c r="Q518" i="17"/>
  <c r="P518" i="17"/>
  <c r="I518" i="17"/>
  <c r="X518" i="17"/>
  <c r="S517" i="17"/>
  <c r="T517" i="17" s="1"/>
  <c r="I517" i="17"/>
  <c r="X517" i="17"/>
  <c r="S516" i="17"/>
  <c r="T516" i="17" s="1"/>
  <c r="S515" i="17"/>
  <c r="P515" i="17"/>
  <c r="X515" i="17"/>
  <c r="I515" i="17"/>
  <c r="S514" i="17"/>
  <c r="I514" i="17"/>
  <c r="X514" i="17"/>
  <c r="P514" i="17"/>
  <c r="S513" i="17"/>
  <c r="T513" i="17" s="1"/>
  <c r="S512" i="17"/>
  <c r="I512" i="17"/>
  <c r="P512" i="17"/>
  <c r="S506" i="17"/>
  <c r="T506" i="17" s="1"/>
  <c r="S507" i="17"/>
  <c r="T507" i="17" s="1"/>
  <c r="S508" i="17"/>
  <c r="S509" i="17"/>
  <c r="S510" i="17"/>
  <c r="T510" i="17" s="1"/>
  <c r="S511" i="17"/>
  <c r="P511" i="17"/>
  <c r="I511" i="17"/>
  <c r="P509" i="17"/>
  <c r="Q506" i="17"/>
  <c r="P508" i="17"/>
  <c r="Q505" i="17"/>
  <c r="P505" i="17"/>
  <c r="T505" i="17" s="1"/>
  <c r="S792" i="17"/>
  <c r="T792" i="17" s="1"/>
  <c r="P792" i="17"/>
  <c r="F792" i="17"/>
  <c r="AF792" i="1"/>
  <c r="P792" i="14"/>
  <c r="O792" i="14"/>
  <c r="N792" i="14"/>
  <c r="L792" i="14"/>
  <c r="K792" i="14"/>
  <c r="J792" i="14"/>
  <c r="I792" i="14"/>
  <c r="H792" i="14" s="1"/>
  <c r="B792" i="14"/>
  <c r="I504" i="17"/>
  <c r="X504" i="17"/>
  <c r="S503" i="17"/>
  <c r="T503" i="17" s="1"/>
  <c r="Q503" i="17"/>
  <c r="I503" i="17"/>
  <c r="X503" i="17"/>
  <c r="X502" i="17"/>
  <c r="I502" i="17"/>
  <c r="S502" i="17"/>
  <c r="T502" i="17" s="1"/>
  <c r="Q502" i="17"/>
  <c r="S501" i="17"/>
  <c r="T501" i="17" s="1"/>
  <c r="S500" i="17"/>
  <c r="T500" i="17" s="1"/>
  <c r="S499" i="17"/>
  <c r="T499" i="17" s="1"/>
  <c r="S498" i="17"/>
  <c r="T498" i="17" s="1"/>
  <c r="S497" i="17"/>
  <c r="T497" i="17" s="1"/>
  <c r="S496" i="17"/>
  <c r="T496" i="17" s="1"/>
  <c r="S495" i="17"/>
  <c r="T495" i="17" s="1"/>
  <c r="I495" i="17"/>
  <c r="X495" i="17"/>
  <c r="S494" i="17"/>
  <c r="T494" i="17" s="1"/>
  <c r="I494" i="17"/>
  <c r="X494" i="17"/>
  <c r="S493" i="17"/>
  <c r="T493" i="17" s="1"/>
  <c r="S492" i="17"/>
  <c r="X492" i="17"/>
  <c r="P492" i="17"/>
  <c r="S491" i="17"/>
  <c r="T491" i="17" s="1"/>
  <c r="S490" i="17"/>
  <c r="T490" i="17" s="1"/>
  <c r="S489" i="17"/>
  <c r="T489" i="17" s="1"/>
  <c r="S488" i="17"/>
  <c r="T488" i="17" s="1"/>
  <c r="S487" i="17"/>
  <c r="T487" i="17" s="1"/>
  <c r="Q487" i="17"/>
  <c r="I487" i="17"/>
  <c r="X487" i="17"/>
  <c r="S486" i="17"/>
  <c r="T486" i="17" s="1"/>
  <c r="I486" i="17"/>
  <c r="X486" i="17"/>
  <c r="X485" i="17"/>
  <c r="S485" i="17"/>
  <c r="T485" i="17" s="1"/>
  <c r="S484" i="17"/>
  <c r="T484" i="17" s="1"/>
  <c r="Q483" i="17"/>
  <c r="S483" i="17"/>
  <c r="T483" i="17" s="1"/>
  <c r="S482" i="17"/>
  <c r="T482" i="17" s="1"/>
  <c r="S481" i="17"/>
  <c r="Q481" i="17"/>
  <c r="P481" i="17"/>
  <c r="S480" i="17"/>
  <c r="T480" i="17" s="1"/>
  <c r="S479" i="17"/>
  <c r="T479" i="17" s="1"/>
  <c r="I478" i="17"/>
  <c r="X478" i="17"/>
  <c r="S478" i="17"/>
  <c r="T478" i="17" s="1"/>
  <c r="S477" i="17"/>
  <c r="T477" i="17" s="1"/>
  <c r="I476" i="17"/>
  <c r="S476" i="17"/>
  <c r="T476" i="17" s="1"/>
  <c r="S475" i="17"/>
  <c r="T475" i="17" s="1"/>
  <c r="I475" i="17"/>
  <c r="S474" i="17"/>
  <c r="T474" i="17" s="1"/>
  <c r="S473" i="17"/>
  <c r="T473" i="17" s="1"/>
  <c r="S472" i="17"/>
  <c r="T472" i="17" s="1"/>
  <c r="S471" i="17"/>
  <c r="T471" i="17" s="1"/>
  <c r="Q471" i="17"/>
  <c r="S470" i="17"/>
  <c r="I470" i="17"/>
  <c r="X470" i="17"/>
  <c r="P470" i="17"/>
  <c r="S469" i="17"/>
  <c r="T469" i="17" s="1"/>
  <c r="I469" i="17"/>
  <c r="X469" i="17" s="1"/>
  <c r="S468" i="17"/>
  <c r="Q468" i="17"/>
  <c r="I468" i="17"/>
  <c r="X468" i="17" s="1"/>
  <c r="P468" i="17"/>
  <c r="S467" i="17"/>
  <c r="T467" i="17" s="1"/>
  <c r="Q466" i="17"/>
  <c r="X466" i="17"/>
  <c r="I466" i="17"/>
  <c r="X465" i="17"/>
  <c r="S466" i="17"/>
  <c r="T466" i="17" s="1"/>
  <c r="S465" i="17"/>
  <c r="T465" i="17" s="1"/>
  <c r="S464" i="17"/>
  <c r="S463" i="17"/>
  <c r="S462" i="17"/>
  <c r="T462" i="17" s="1"/>
  <c r="S461" i="17"/>
  <c r="S460" i="17"/>
  <c r="S459" i="17"/>
  <c r="S458" i="17"/>
  <c r="S457" i="17"/>
  <c r="S456" i="17"/>
  <c r="S454" i="17"/>
  <c r="P464" i="17"/>
  <c r="Q464" i="17"/>
  <c r="Q463" i="17"/>
  <c r="P463" i="17"/>
  <c r="Q462" i="17"/>
  <c r="F461" i="17"/>
  <c r="P461" i="17"/>
  <c r="P460" i="17"/>
  <c r="X460" i="17"/>
  <c r="X459" i="17"/>
  <c r="X456" i="17"/>
  <c r="X453" i="17"/>
  <c r="P459" i="17"/>
  <c r="P458" i="17"/>
  <c r="P457" i="17"/>
  <c r="P456" i="17"/>
  <c r="I456" i="17"/>
  <c r="S455" i="17"/>
  <c r="P455" i="17"/>
  <c r="P454" i="17"/>
  <c r="I453" i="17"/>
  <c r="S453" i="17"/>
  <c r="P453" i="17"/>
  <c r="Q406" i="17"/>
  <c r="S406" i="17"/>
  <c r="P406" i="17"/>
  <c r="S285" i="17"/>
  <c r="T285" i="17" s="1"/>
  <c r="R156" i="17"/>
  <c r="L156" i="17" s="1" a="1"/>
  <c r="M156" i="17" s="1"/>
  <c r="B138" i="14"/>
  <c r="S135" i="17"/>
  <c r="T135" i="17" s="1"/>
  <c r="P102" i="17"/>
  <c r="T102" i="17" s="1"/>
  <c r="I60" i="17"/>
  <c r="I53" i="17"/>
  <c r="Q43" i="17"/>
  <c r="I39" i="17"/>
  <c r="Q16" i="17"/>
  <c r="F789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90" i="17"/>
  <c r="F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H985" i="24" l="1"/>
  <c r="C985" i="14" a="1"/>
  <c r="AC985" i="17"/>
  <c r="AE985" i="17" s="1"/>
  <c r="AF985" i="17" a="1"/>
  <c r="E985" i="24" s="1"/>
  <c r="AD985" i="17"/>
  <c r="AC984" i="17"/>
  <c r="AE984" i="17" s="1"/>
  <c r="AD984" i="17"/>
  <c r="H984" i="14"/>
  <c r="AF984" i="17" a="1"/>
  <c r="E984" i="24" s="1"/>
  <c r="M985" i="14"/>
  <c r="C984" i="24"/>
  <c r="F984" i="24"/>
  <c r="D984" i="24"/>
  <c r="B984" i="24" a="1"/>
  <c r="G984" i="24"/>
  <c r="C984" i="14" a="1"/>
  <c r="AD983" i="17"/>
  <c r="AC983" i="17"/>
  <c r="AE983" i="17" s="1"/>
  <c r="H983" i="14"/>
  <c r="AF983" i="17" a="1"/>
  <c r="E983" i="24" s="1"/>
  <c r="M984" i="14"/>
  <c r="C983" i="24"/>
  <c r="G983" i="24"/>
  <c r="D983" i="24"/>
  <c r="F983" i="24"/>
  <c r="B983" i="24" a="1"/>
  <c r="C983" i="14" a="1"/>
  <c r="G982" i="19"/>
  <c r="G980" i="19"/>
  <c r="T556" i="17"/>
  <c r="T538" i="17"/>
  <c r="T530" i="17"/>
  <c r="T519" i="17"/>
  <c r="T518" i="17"/>
  <c r="T515" i="17"/>
  <c r="T514" i="17"/>
  <c r="T512" i="17"/>
  <c r="T508" i="17"/>
  <c r="T509" i="17"/>
  <c r="T511" i="17"/>
  <c r="T492" i="17"/>
  <c r="T481" i="17"/>
  <c r="T470" i="17"/>
  <c r="T468" i="17"/>
  <c r="T464" i="17"/>
  <c r="T463" i="17"/>
  <c r="T461" i="17"/>
  <c r="T460" i="17"/>
  <c r="T459" i="17"/>
  <c r="T458" i="17"/>
  <c r="T457" i="17"/>
  <c r="T456" i="17"/>
  <c r="T454" i="17"/>
  <c r="T455" i="17"/>
  <c r="T453" i="17"/>
  <c r="T406" i="17"/>
  <c r="G981" i="19"/>
  <c r="AF982" i="17" a="1"/>
  <c r="E982" i="24" s="1"/>
  <c r="AD982" i="17"/>
  <c r="AC982" i="17"/>
  <c r="AE982" i="17" s="1"/>
  <c r="D977" i="14" a="1"/>
  <c r="C977" i="14" s="1" a="1"/>
  <c r="C977" i="19"/>
  <c r="D973" i="14" a="1"/>
  <c r="C973" i="19"/>
  <c r="D974" i="14" a="1"/>
  <c r="C974" i="14" s="1" a="1"/>
  <c r="C974" i="19"/>
  <c r="D975" i="14" a="1"/>
  <c r="C975" i="19"/>
  <c r="D976" i="14" a="1"/>
  <c r="C976" i="19"/>
  <c r="C982" i="14" a="1"/>
  <c r="C982" i="24"/>
  <c r="G982" i="24"/>
  <c r="F982" i="24"/>
  <c r="D982" i="24"/>
  <c r="B982" i="24" a="1"/>
  <c r="AF981" i="17" a="1"/>
  <c r="E981" i="24" s="1"/>
  <c r="AD981" i="17"/>
  <c r="AC981" i="17"/>
  <c r="AE981" i="17" s="1"/>
  <c r="C981" i="24"/>
  <c r="G981" i="24"/>
  <c r="F981" i="24"/>
  <c r="D981" i="24"/>
  <c r="B981" i="24" a="1"/>
  <c r="C981" i="14" a="1"/>
  <c r="AF980" i="17" a="1"/>
  <c r="E980" i="24" s="1"/>
  <c r="AD980" i="17"/>
  <c r="AC980" i="17"/>
  <c r="AE980" i="17" s="1"/>
  <c r="C980" i="14" a="1"/>
  <c r="C980" i="24"/>
  <c r="D980" i="24"/>
  <c r="B980" i="24" a="1"/>
  <c r="G980" i="24"/>
  <c r="F980" i="24"/>
  <c r="AD979" i="17"/>
  <c r="AC979" i="17"/>
  <c r="AE979" i="17" s="1"/>
  <c r="H979" i="14"/>
  <c r="AF979" i="17" a="1"/>
  <c r="E979" i="24" s="1"/>
  <c r="C979" i="14" a="1"/>
  <c r="F979" i="24"/>
  <c r="D979" i="24"/>
  <c r="B979" i="24" a="1"/>
  <c r="C979" i="24"/>
  <c r="G979" i="24"/>
  <c r="AF978" i="17" a="1"/>
  <c r="E978" i="24" s="1"/>
  <c r="C978" i="14" a="1"/>
  <c r="AD978" i="17"/>
  <c r="AC978" i="17"/>
  <c r="AE978" i="17" s="1"/>
  <c r="H978" i="14"/>
  <c r="G978" i="19"/>
  <c r="G978" i="24"/>
  <c r="D978" i="24"/>
  <c r="M979" i="14" s="1"/>
  <c r="B978" i="24" a="1"/>
  <c r="F978" i="24"/>
  <c r="C978" i="24"/>
  <c r="AF977" i="17" a="1"/>
  <c r="E977" i="24" s="1"/>
  <c r="AD977" i="17"/>
  <c r="AC977" i="17"/>
  <c r="AE977" i="17" s="1"/>
  <c r="AD974" i="17"/>
  <c r="AC974" i="17"/>
  <c r="H974" i="14"/>
  <c r="G974" i="19"/>
  <c r="H973" i="14"/>
  <c r="G973" i="19"/>
  <c r="AC975" i="17"/>
  <c r="AD975" i="17"/>
  <c r="AD976" i="17"/>
  <c r="AC976" i="17"/>
  <c r="N976" i="17" a="1"/>
  <c r="N975" i="17" a="1"/>
  <c r="N974" i="17" a="1"/>
  <c r="N973" i="17" a="1"/>
  <c r="N2" i="17" a="1"/>
  <c r="N3" i="17" a="1"/>
  <c r="N4" i="17" a="1"/>
  <c r="N5" i="17" a="1"/>
  <c r="N6" i="17" a="1"/>
  <c r="N7" i="17" a="1"/>
  <c r="N8" i="17" a="1"/>
  <c r="N9" i="17" a="1"/>
  <c r="N10" i="17" a="1"/>
  <c r="N11" i="17" a="1"/>
  <c r="N12" i="17" a="1"/>
  <c r="N13" i="17" a="1"/>
  <c r="N14" i="17" a="1"/>
  <c r="N15" i="17" a="1"/>
  <c r="N16" i="17" a="1"/>
  <c r="N17" i="17" a="1"/>
  <c r="N18" i="17" a="1"/>
  <c r="N19" i="17" a="1"/>
  <c r="N20" i="17" a="1"/>
  <c r="N21" i="17" a="1"/>
  <c r="N22" i="17" a="1"/>
  <c r="N23" i="17" a="1"/>
  <c r="N24" i="17" a="1"/>
  <c r="N25" i="17" a="1"/>
  <c r="N26" i="17" a="1"/>
  <c r="N27" i="17" a="1"/>
  <c r="N28" i="17" a="1"/>
  <c r="N29" i="17" a="1"/>
  <c r="N30" i="17" a="1"/>
  <c r="N31" i="17" a="1"/>
  <c r="N32" i="17" a="1"/>
  <c r="N33" i="17" a="1"/>
  <c r="N34" i="17" a="1"/>
  <c r="N35" i="17" a="1"/>
  <c r="N36" i="17" a="1"/>
  <c r="N37" i="17" a="1"/>
  <c r="N38" i="17" a="1"/>
  <c r="N39" i="17" a="1"/>
  <c r="N40" i="17" a="1"/>
  <c r="N41" i="17" a="1"/>
  <c r="N42" i="17" a="1"/>
  <c r="N43" i="17" a="1"/>
  <c r="N44" i="17" a="1"/>
  <c r="N45" i="17" a="1"/>
  <c r="N46" i="17" a="1"/>
  <c r="N47" i="17" a="1"/>
  <c r="N48" i="17" a="1"/>
  <c r="N49" i="17" a="1"/>
  <c r="N50" i="17" a="1"/>
  <c r="N51" i="17" a="1"/>
  <c r="N52" i="17" a="1"/>
  <c r="N53" i="17" a="1"/>
  <c r="N54" i="17" a="1"/>
  <c r="N55" i="17" a="1"/>
  <c r="N56" i="17" a="1"/>
  <c r="N57" i="17" a="1"/>
  <c r="N58" i="17" a="1"/>
  <c r="N59" i="17" a="1"/>
  <c r="N60" i="17" a="1"/>
  <c r="N61" i="17" a="1"/>
  <c r="N62" i="17" a="1"/>
  <c r="N63" i="17" a="1"/>
  <c r="N64" i="17" a="1"/>
  <c r="N65" i="17" a="1"/>
  <c r="N66" i="17" a="1"/>
  <c r="N67" i="17" a="1"/>
  <c r="N68" i="17" a="1"/>
  <c r="N69" i="17" a="1"/>
  <c r="N70" i="17" a="1"/>
  <c r="N71" i="17" a="1"/>
  <c r="N72" i="17" a="1"/>
  <c r="N73" i="17" a="1"/>
  <c r="N74" i="17" a="1"/>
  <c r="N75" i="17" a="1"/>
  <c r="N76" i="17" a="1"/>
  <c r="N77" i="17" a="1"/>
  <c r="N78" i="17" a="1"/>
  <c r="N79" i="17" a="1"/>
  <c r="N80" i="17" a="1"/>
  <c r="N81" i="17" a="1"/>
  <c r="N82" i="17" a="1"/>
  <c r="N83" i="17" a="1"/>
  <c r="N84" i="17" a="1"/>
  <c r="N85" i="17" a="1"/>
  <c r="N86" i="17" a="1"/>
  <c r="N87" i="17" a="1"/>
  <c r="N88" i="17" a="1"/>
  <c r="N89" i="17" a="1"/>
  <c r="N90" i="17" a="1"/>
  <c r="N91" i="17" a="1"/>
  <c r="N92" i="17" a="1"/>
  <c r="N93" i="17" a="1"/>
  <c r="N94" i="17" a="1"/>
  <c r="N95" i="17" a="1"/>
  <c r="N96" i="17" a="1"/>
  <c r="N97" i="17" a="1"/>
  <c r="N98" i="17" a="1"/>
  <c r="N99" i="17" a="1"/>
  <c r="N100" i="17" a="1"/>
  <c r="N101" i="17" a="1"/>
  <c r="N102" i="17" a="1"/>
  <c r="N103" i="17" a="1"/>
  <c r="N104" i="17" a="1"/>
  <c r="N105" i="17" a="1"/>
  <c r="N106" i="17" a="1"/>
  <c r="N107" i="17" a="1"/>
  <c r="N108" i="17" a="1"/>
  <c r="N109" i="17" a="1"/>
  <c r="N110" i="17" a="1"/>
  <c r="N111" i="17" a="1"/>
  <c r="N112" i="17" a="1"/>
  <c r="N113" i="17" a="1"/>
  <c r="N114" i="17" a="1"/>
  <c r="N115" i="17" a="1"/>
  <c r="N116" i="17" a="1"/>
  <c r="N117" i="17" a="1"/>
  <c r="N118" i="17" a="1"/>
  <c r="N119" i="17" a="1"/>
  <c r="N120" i="17" a="1"/>
  <c r="N121" i="17" a="1"/>
  <c r="N122" i="17" a="1"/>
  <c r="N123" i="17" a="1"/>
  <c r="N124" i="17" a="1"/>
  <c r="N125" i="17" a="1"/>
  <c r="N126" i="17" a="1"/>
  <c r="N127" i="17" a="1"/>
  <c r="N128" i="17" a="1"/>
  <c r="N129" i="17" a="1"/>
  <c r="N130" i="17" a="1"/>
  <c r="N131" i="17" a="1"/>
  <c r="N132" i="17" a="1"/>
  <c r="N133" i="17" a="1"/>
  <c r="N134" i="17" a="1"/>
  <c r="N135" i="17" a="1"/>
  <c r="N136" i="17" a="1"/>
  <c r="N137" i="17" a="1"/>
  <c r="N138" i="17" a="1"/>
  <c r="N139" i="17" a="1"/>
  <c r="N140" i="17" a="1"/>
  <c r="N141" i="17" a="1"/>
  <c r="N142" i="17" a="1"/>
  <c r="N143" i="17" a="1"/>
  <c r="N144" i="17" a="1"/>
  <c r="N145" i="17" a="1"/>
  <c r="N146" i="17" a="1"/>
  <c r="N147" i="17" a="1"/>
  <c r="N148" i="17" a="1"/>
  <c r="N149" i="17" a="1"/>
  <c r="N150" i="17" a="1"/>
  <c r="N151" i="17" a="1"/>
  <c r="N152" i="17" a="1"/>
  <c r="N153" i="17" a="1"/>
  <c r="N154" i="17" a="1"/>
  <c r="N155" i="17" a="1"/>
  <c r="N156" i="17" a="1"/>
  <c r="N157" i="17" a="1"/>
  <c r="N158" i="17" a="1"/>
  <c r="N159" i="17" a="1"/>
  <c r="N160" i="17" a="1"/>
  <c r="N161" i="17" a="1"/>
  <c r="N162" i="17" a="1"/>
  <c r="N163" i="17" a="1"/>
  <c r="N164" i="17" a="1"/>
  <c r="N165" i="17" a="1"/>
  <c r="N166" i="17" a="1"/>
  <c r="N167" i="17" a="1"/>
  <c r="N168" i="17" a="1"/>
  <c r="N169" i="17" a="1"/>
  <c r="N170" i="17" a="1"/>
  <c r="N171" i="17" a="1"/>
  <c r="N172" i="17" a="1"/>
  <c r="N173" i="17" a="1"/>
  <c r="N174" i="17" a="1"/>
  <c r="N175" i="17" a="1"/>
  <c r="N176" i="17" a="1"/>
  <c r="N177" i="17" a="1"/>
  <c r="N178" i="17" a="1"/>
  <c r="N179" i="17" a="1"/>
  <c r="N180" i="17" a="1"/>
  <c r="N181" i="17" a="1"/>
  <c r="N182" i="17" a="1"/>
  <c r="N183" i="17" a="1"/>
  <c r="N184" i="17" a="1"/>
  <c r="N185" i="17" a="1"/>
  <c r="N186" i="17" a="1"/>
  <c r="N187" i="17" a="1"/>
  <c r="N188" i="17" a="1"/>
  <c r="N189" i="17" a="1"/>
  <c r="N190" i="17" a="1"/>
  <c r="N191" i="17" a="1"/>
  <c r="N192" i="17" a="1"/>
  <c r="N193" i="17" a="1"/>
  <c r="N194" i="17" a="1"/>
  <c r="N195" i="17" a="1"/>
  <c r="N196" i="17" a="1"/>
  <c r="N197" i="17" a="1"/>
  <c r="N198" i="17" a="1"/>
  <c r="N199" i="17" a="1"/>
  <c r="N200" i="17" a="1"/>
  <c r="N201" i="17" a="1"/>
  <c r="N202" i="17" a="1"/>
  <c r="N203" i="17" a="1"/>
  <c r="N204" i="17" a="1"/>
  <c r="N205" i="17" a="1"/>
  <c r="N206" i="17" a="1"/>
  <c r="N207" i="17" a="1"/>
  <c r="N208" i="17" a="1"/>
  <c r="N209" i="17" a="1"/>
  <c r="N210" i="17" a="1"/>
  <c r="N211" i="17" a="1"/>
  <c r="N249" i="17" a="1"/>
  <c r="N250" i="17" a="1"/>
  <c r="N251" i="17" a="1"/>
  <c r="N252" i="17" a="1"/>
  <c r="N253" i="17" a="1"/>
  <c r="N254" i="17" a="1"/>
  <c r="N255" i="17" a="1"/>
  <c r="N256" i="17" a="1"/>
  <c r="N257" i="17" a="1"/>
  <c r="N258" i="17" a="1"/>
  <c r="N259" i="17" a="1"/>
  <c r="N260" i="17" a="1"/>
  <c r="N261" i="17" a="1"/>
  <c r="N262" i="17" a="1"/>
  <c r="N263" i="17" a="1"/>
  <c r="N264" i="17" a="1"/>
  <c r="N265" i="17" a="1"/>
  <c r="N266" i="17" a="1"/>
  <c r="N267" i="17" a="1"/>
  <c r="N268" i="17" a="1"/>
  <c r="N269" i="17" a="1"/>
  <c r="N270" i="17" a="1"/>
  <c r="N271" i="17" a="1"/>
  <c r="N272" i="17" a="1"/>
  <c r="N273" i="17" a="1"/>
  <c r="N274" i="17" a="1"/>
  <c r="N275" i="17" a="1"/>
  <c r="N276" i="17" a="1"/>
  <c r="N277" i="17" a="1"/>
  <c r="N278" i="17" a="1"/>
  <c r="N279" i="17" a="1"/>
  <c r="N280" i="17" a="1"/>
  <c r="N281" i="17" a="1"/>
  <c r="N282" i="17" a="1"/>
  <c r="N283" i="17" a="1"/>
  <c r="N284" i="17" a="1"/>
  <c r="N285" i="17" a="1"/>
  <c r="N286" i="17" a="1"/>
  <c r="N287" i="17" a="1"/>
  <c r="N288" i="17" a="1"/>
  <c r="N289" i="17" a="1"/>
  <c r="N290" i="17" a="1"/>
  <c r="N291" i="17" a="1"/>
  <c r="N292" i="17" a="1"/>
  <c r="N293" i="17" a="1"/>
  <c r="N294" i="17" a="1"/>
  <c r="N295" i="17" a="1"/>
  <c r="N296" i="17" a="1"/>
  <c r="N297" i="17" a="1"/>
  <c r="N298" i="17" a="1"/>
  <c r="N299" i="17" a="1"/>
  <c r="N300" i="17" a="1"/>
  <c r="N301" i="17" a="1"/>
  <c r="N302" i="17" a="1"/>
  <c r="N303" i="17" a="1"/>
  <c r="N304" i="17" a="1"/>
  <c r="N305" i="17" a="1"/>
  <c r="N306" i="17" a="1"/>
  <c r="N307" i="17" a="1"/>
  <c r="N308" i="17" a="1"/>
  <c r="N309" i="17" a="1"/>
  <c r="N310" i="17" a="1"/>
  <c r="N311" i="17" a="1"/>
  <c r="N312" i="17" a="1"/>
  <c r="N313" i="17" a="1"/>
  <c r="N314" i="17" a="1"/>
  <c r="N315" i="17" a="1"/>
  <c r="N316" i="17" a="1"/>
  <c r="N317" i="17" a="1"/>
  <c r="N318" i="17" a="1"/>
  <c r="N319" i="17" a="1"/>
  <c r="N320" i="17" a="1"/>
  <c r="N321" i="17" a="1"/>
  <c r="N322" i="17" a="1"/>
  <c r="N323" i="17" a="1"/>
  <c r="N324" i="17" a="1"/>
  <c r="N325" i="17" a="1"/>
  <c r="N326" i="17" a="1"/>
  <c r="N327" i="17" a="1"/>
  <c r="N328" i="17" a="1"/>
  <c r="N329" i="17" a="1"/>
  <c r="N330" i="17" a="1"/>
  <c r="N331" i="17" a="1"/>
  <c r="N332" i="17" a="1"/>
  <c r="N333" i="17" a="1"/>
  <c r="N334" i="17" a="1"/>
  <c r="N335" i="17" a="1"/>
  <c r="N336" i="17" a="1"/>
  <c r="N337" i="17" a="1"/>
  <c r="N338" i="17" a="1"/>
  <c r="N339" i="17" a="1"/>
  <c r="N340" i="17" a="1"/>
  <c r="N341" i="17" a="1"/>
  <c r="N342" i="17" a="1"/>
  <c r="N343" i="17" a="1"/>
  <c r="N344" i="17" a="1"/>
  <c r="N345" i="17" a="1"/>
  <c r="N346" i="17" a="1"/>
  <c r="N347" i="17" a="1"/>
  <c r="N348" i="17" a="1"/>
  <c r="N349" i="17" a="1"/>
  <c r="N350" i="17" a="1"/>
  <c r="N351" i="17" a="1"/>
  <c r="N352" i="17" a="1"/>
  <c r="N353" i="17" a="1"/>
  <c r="N354" i="17" a="1"/>
  <c r="N355" i="17" a="1"/>
  <c r="N356" i="17" a="1"/>
  <c r="N357" i="17" a="1"/>
  <c r="N358" i="17" a="1"/>
  <c r="N359" i="17" a="1"/>
  <c r="N360" i="17" a="1"/>
  <c r="N361" i="17" a="1"/>
  <c r="N362" i="17" a="1"/>
  <c r="N363" i="17" a="1"/>
  <c r="N364" i="17" a="1"/>
  <c r="N365" i="17" a="1"/>
  <c r="N366" i="17" a="1"/>
  <c r="N367" i="17" a="1"/>
  <c r="N368" i="17" a="1"/>
  <c r="N369" i="17" a="1"/>
  <c r="N370" i="17" a="1"/>
  <c r="N371" i="17" a="1"/>
  <c r="N372" i="17" a="1"/>
  <c r="N373" i="17" a="1"/>
  <c r="N374" i="17" a="1"/>
  <c r="N375" i="17" a="1"/>
  <c r="N376" i="17" a="1"/>
  <c r="N377" i="17" a="1"/>
  <c r="N378" i="17" a="1"/>
  <c r="N379" i="17" a="1"/>
  <c r="N380" i="17" a="1"/>
  <c r="N381" i="17" a="1"/>
  <c r="N382" i="17" a="1"/>
  <c r="N383" i="17" a="1"/>
  <c r="N384" i="17" a="1"/>
  <c r="N385" i="17" a="1"/>
  <c r="N386" i="17" a="1"/>
  <c r="N387" i="17" a="1"/>
  <c r="N388" i="17" a="1"/>
  <c r="N389" i="17" a="1"/>
  <c r="N390" i="17" a="1"/>
  <c r="N391" i="17" a="1"/>
  <c r="N392" i="17" a="1"/>
  <c r="N393" i="17" a="1"/>
  <c r="N394" i="17" a="1"/>
  <c r="N395" i="17" a="1"/>
  <c r="N396" i="17" a="1"/>
  <c r="N397" i="17" a="1"/>
  <c r="N398" i="17" a="1"/>
  <c r="N399" i="17" a="1"/>
  <c r="N400" i="17" a="1"/>
  <c r="N401" i="17" a="1"/>
  <c r="N402" i="17" a="1"/>
  <c r="N403" i="17" a="1"/>
  <c r="N404" i="17" a="1"/>
  <c r="N405" i="17" a="1"/>
  <c r="N406" i="17" a="1"/>
  <c r="N407" i="17" a="1"/>
  <c r="N408" i="17" a="1"/>
  <c r="N409" i="17" a="1"/>
  <c r="N410" i="17" a="1"/>
  <c r="N411" i="17" a="1"/>
  <c r="N412" i="17" a="1"/>
  <c r="N413" i="17" a="1"/>
  <c r="N414" i="17" a="1"/>
  <c r="N415" i="17" a="1"/>
  <c r="N416" i="17" a="1"/>
  <c r="N417" i="17" a="1"/>
  <c r="N418" i="17" a="1"/>
  <c r="N419" i="17" a="1"/>
  <c r="N420" i="17" a="1"/>
  <c r="N421" i="17" a="1"/>
  <c r="N422" i="17" a="1"/>
  <c r="N423" i="17" a="1"/>
  <c r="N424" i="17" a="1"/>
  <c r="N425" i="17" a="1"/>
  <c r="N426" i="17" a="1"/>
  <c r="N427" i="17" a="1"/>
  <c r="N428" i="17" a="1"/>
  <c r="N429" i="17" a="1"/>
  <c r="N430" i="17" a="1"/>
  <c r="N431" i="17" a="1"/>
  <c r="N432" i="17" a="1"/>
  <c r="N433" i="17" a="1"/>
  <c r="N434" i="17" a="1"/>
  <c r="N435" i="17" a="1"/>
  <c r="N436" i="17" a="1"/>
  <c r="N437" i="17" a="1"/>
  <c r="N438" i="17" a="1"/>
  <c r="N439" i="17" a="1"/>
  <c r="N440" i="17" a="1"/>
  <c r="N441" i="17" a="1"/>
  <c r="N442" i="17" a="1"/>
  <c r="N443" i="17" a="1"/>
  <c r="N444" i="17" a="1"/>
  <c r="N445" i="17" a="1"/>
  <c r="N446" i="17" a="1"/>
  <c r="N447" i="17" a="1"/>
  <c r="N448" i="17" a="1"/>
  <c r="N449" i="17" a="1"/>
  <c r="N450" i="17" a="1"/>
  <c r="N451" i="17" a="1"/>
  <c r="N452" i="17" a="1"/>
  <c r="N453" i="17" a="1"/>
  <c r="N454" i="17" a="1"/>
  <c r="N455" i="17" a="1"/>
  <c r="N456" i="17" a="1"/>
  <c r="N457" i="17" a="1"/>
  <c r="N458" i="17" a="1"/>
  <c r="N459" i="17" a="1"/>
  <c r="N460" i="17" a="1"/>
  <c r="N461" i="17" a="1"/>
  <c r="N462" i="17" a="1"/>
  <c r="N463" i="17" a="1"/>
  <c r="N464" i="17" a="1"/>
  <c r="N465" i="17" a="1"/>
  <c r="N466" i="17" a="1"/>
  <c r="N467" i="17" a="1"/>
  <c r="N468" i="17" a="1"/>
  <c r="N469" i="17" a="1"/>
  <c r="N470" i="17" a="1"/>
  <c r="N471" i="17" a="1"/>
  <c r="N472" i="17" a="1"/>
  <c r="N473" i="17" a="1"/>
  <c r="N474" i="17" a="1"/>
  <c r="N475" i="17" a="1"/>
  <c r="N476" i="17" a="1"/>
  <c r="N477" i="17" a="1"/>
  <c r="N478" i="17" a="1"/>
  <c r="N479" i="17" a="1"/>
  <c r="N480" i="17" a="1"/>
  <c r="N481" i="17" a="1"/>
  <c r="N482" i="17" a="1"/>
  <c r="N483" i="17" a="1"/>
  <c r="N484" i="17" a="1"/>
  <c r="N485" i="17" a="1"/>
  <c r="N486" i="17" a="1"/>
  <c r="N487" i="17" a="1"/>
  <c r="N488" i="17" a="1"/>
  <c r="N489" i="17" a="1"/>
  <c r="N490" i="17" a="1"/>
  <c r="N491" i="17" a="1"/>
  <c r="N492" i="17" a="1"/>
  <c r="N493" i="17" a="1"/>
  <c r="N494" i="17" a="1"/>
  <c r="N495" i="17" a="1"/>
  <c r="N496" i="17" a="1"/>
  <c r="N497" i="17" a="1"/>
  <c r="N498" i="17" a="1"/>
  <c r="N499" i="17" a="1"/>
  <c r="N500" i="17" a="1"/>
  <c r="N501" i="17" a="1"/>
  <c r="N502" i="17" a="1"/>
  <c r="N503" i="17" a="1"/>
  <c r="N504" i="17" a="1"/>
  <c r="N505" i="17" a="1"/>
  <c r="N506" i="17" a="1"/>
  <c r="N507" i="17" a="1"/>
  <c r="N508" i="17" a="1"/>
  <c r="N509" i="17" a="1"/>
  <c r="N510" i="17" a="1"/>
  <c r="N511" i="17" a="1"/>
  <c r="N512" i="17" a="1"/>
  <c r="N513" i="17" a="1"/>
  <c r="N514" i="17" a="1"/>
  <c r="N515" i="17" a="1"/>
  <c r="N516" i="17" a="1"/>
  <c r="N517" i="17" a="1"/>
  <c r="N518" i="17" a="1"/>
  <c r="N519" i="17" a="1"/>
  <c r="N520" i="17" a="1"/>
  <c r="N521" i="17" a="1"/>
  <c r="N522" i="17" a="1"/>
  <c r="N523" i="17" a="1"/>
  <c r="N524" i="17" a="1"/>
  <c r="N525" i="17" a="1"/>
  <c r="N526" i="17" a="1"/>
  <c r="N527" i="17" a="1"/>
  <c r="N528" i="17" a="1"/>
  <c r="N529" i="17" a="1"/>
  <c r="N530" i="17" a="1"/>
  <c r="N531" i="17" a="1"/>
  <c r="N532" i="17" a="1"/>
  <c r="N533" i="17" a="1"/>
  <c r="N534" i="17" a="1"/>
  <c r="N535" i="17" a="1"/>
  <c r="N536" i="17" a="1"/>
  <c r="N537" i="17" a="1"/>
  <c r="N538" i="17" a="1"/>
  <c r="N539" i="17" a="1"/>
  <c r="N540" i="17" a="1"/>
  <c r="N541" i="17" a="1"/>
  <c r="N542" i="17" a="1"/>
  <c r="N543" i="17" a="1"/>
  <c r="N544" i="17" a="1"/>
  <c r="N545" i="17" a="1"/>
  <c r="N546" i="17" a="1"/>
  <c r="N547" i="17" a="1"/>
  <c r="N548" i="17" a="1"/>
  <c r="N549" i="17" a="1"/>
  <c r="N550" i="17" a="1"/>
  <c r="N551" i="17" a="1"/>
  <c r="N552" i="17" a="1"/>
  <c r="N553" i="17" a="1"/>
  <c r="N554" i="17" a="1"/>
  <c r="N555" i="17" a="1"/>
  <c r="N556" i="17" a="1"/>
  <c r="N557" i="17" a="1"/>
  <c r="N558" i="17" a="1"/>
  <c r="N559" i="17" a="1"/>
  <c r="N560" i="17" a="1"/>
  <c r="N561" i="17" a="1"/>
  <c r="N562" i="17" a="1"/>
  <c r="N563" i="17" a="1"/>
  <c r="N564" i="17" a="1"/>
  <c r="N565" i="17" a="1"/>
  <c r="N566" i="17" a="1"/>
  <c r="N567" i="17" a="1"/>
  <c r="N568" i="17" a="1"/>
  <c r="N569" i="17" a="1"/>
  <c r="N570" i="17" a="1"/>
  <c r="N571" i="17" a="1"/>
  <c r="N572" i="17" a="1"/>
  <c r="N573" i="17" a="1"/>
  <c r="N574" i="17" a="1"/>
  <c r="N575" i="17" a="1"/>
  <c r="N576" i="17" a="1"/>
  <c r="N577" i="17" a="1"/>
  <c r="N578" i="17" a="1"/>
  <c r="N579" i="17" a="1"/>
  <c r="N580" i="17" a="1"/>
  <c r="N581" i="17" a="1"/>
  <c r="N582" i="17" a="1"/>
  <c r="N583" i="17" a="1"/>
  <c r="N584" i="17" a="1"/>
  <c r="N585" i="17" a="1"/>
  <c r="N586" i="17" a="1"/>
  <c r="N587" i="17" a="1"/>
  <c r="N588" i="17" a="1"/>
  <c r="N589" i="17" a="1"/>
  <c r="N590" i="17" a="1"/>
  <c r="N591" i="17" a="1"/>
  <c r="N592" i="17" a="1"/>
  <c r="N593" i="17" a="1"/>
  <c r="N594" i="17" a="1"/>
  <c r="N595" i="17" a="1"/>
  <c r="N596" i="17" a="1"/>
  <c r="N597" i="17" a="1"/>
  <c r="N598" i="17" a="1"/>
  <c r="N599" i="17" a="1"/>
  <c r="N600" i="17" a="1"/>
  <c r="N601" i="17" a="1"/>
  <c r="N602" i="17" a="1"/>
  <c r="N603" i="17" a="1"/>
  <c r="N604" i="17" a="1"/>
  <c r="N605" i="17" a="1"/>
  <c r="N606" i="17" a="1"/>
  <c r="N607" i="17" a="1"/>
  <c r="N608" i="17" a="1"/>
  <c r="N609" i="17" a="1"/>
  <c r="N610" i="17" a="1"/>
  <c r="N611" i="17" a="1"/>
  <c r="N612" i="17" a="1"/>
  <c r="N613" i="17" a="1"/>
  <c r="N614" i="17" a="1"/>
  <c r="N615" i="17" a="1"/>
  <c r="N616" i="17" a="1"/>
  <c r="N617" i="17" a="1"/>
  <c r="N618" i="17" a="1"/>
  <c r="N619" i="17" a="1"/>
  <c r="N660" i="17" a="1"/>
  <c r="N661" i="17" a="1"/>
  <c r="N662" i="17" a="1"/>
  <c r="N663" i="17" a="1"/>
  <c r="N664" i="17" a="1"/>
  <c r="N665" i="17" a="1"/>
  <c r="N666" i="17" a="1"/>
  <c r="N667" i="17" a="1"/>
  <c r="N668" i="17" a="1"/>
  <c r="N669" i="17" a="1"/>
  <c r="N670" i="17" a="1"/>
  <c r="N671" i="17" a="1"/>
  <c r="N672" i="17" a="1"/>
  <c r="N673" i="17" a="1"/>
  <c r="N674" i="17" a="1"/>
  <c r="N675" i="17" a="1"/>
  <c r="N676" i="17" a="1"/>
  <c r="N677" i="17" a="1"/>
  <c r="N678" i="17" a="1"/>
  <c r="N679" i="17" a="1"/>
  <c r="N680" i="17" a="1"/>
  <c r="N681" i="17" a="1"/>
  <c r="N682" i="17" a="1"/>
  <c r="N683" i="17" a="1"/>
  <c r="N684" i="17" a="1"/>
  <c r="N685" i="17" a="1"/>
  <c r="N686" i="17" a="1"/>
  <c r="N687" i="17" a="1"/>
  <c r="N688" i="17" a="1"/>
  <c r="N689" i="17" a="1"/>
  <c r="N690" i="17" a="1"/>
  <c r="N691" i="17" a="1"/>
  <c r="N692" i="17" a="1"/>
  <c r="N693" i="17" a="1"/>
  <c r="N694" i="17" a="1"/>
  <c r="N695" i="17" a="1"/>
  <c r="N696" i="17" a="1"/>
  <c r="N697" i="17" a="1"/>
  <c r="N698" i="17" a="1"/>
  <c r="N699" i="17" a="1"/>
  <c r="N700" i="17" a="1"/>
  <c r="N701" i="17" a="1"/>
  <c r="N702" i="17" a="1"/>
  <c r="N703" i="17" a="1"/>
  <c r="N704" i="17" a="1"/>
  <c r="N705" i="17" a="1"/>
  <c r="N706" i="17" a="1"/>
  <c r="N707" i="17" a="1"/>
  <c r="N708" i="17" a="1"/>
  <c r="N709" i="17" a="1"/>
  <c r="N710" i="17" a="1"/>
  <c r="N711" i="17" a="1"/>
  <c r="N712" i="17" a="1"/>
  <c r="N713" i="17" a="1"/>
  <c r="N714" i="17" a="1"/>
  <c r="N715" i="17" a="1"/>
  <c r="N716" i="17" a="1"/>
  <c r="N717" i="17" a="1"/>
  <c r="N718" i="17" a="1"/>
  <c r="N719" i="17" a="1"/>
  <c r="N720" i="17" a="1"/>
  <c r="N721" i="17" a="1"/>
  <c r="N722" i="17" a="1"/>
  <c r="N723" i="17" a="1"/>
  <c r="N724" i="17" a="1"/>
  <c r="N725" i="17" a="1"/>
  <c r="N726" i="17" a="1"/>
  <c r="N727" i="17" a="1"/>
  <c r="N728" i="17" a="1"/>
  <c r="N729" i="17" a="1"/>
  <c r="N730" i="17" a="1"/>
  <c r="N731" i="17" a="1"/>
  <c r="N732" i="17" a="1"/>
  <c r="N733" i="17" a="1"/>
  <c r="N734" i="17" a="1"/>
  <c r="N735" i="17" a="1"/>
  <c r="N736" i="17" a="1"/>
  <c r="N737" i="17" a="1"/>
  <c r="N738" i="17" a="1"/>
  <c r="N739" i="17" a="1"/>
  <c r="N740" i="17" a="1"/>
  <c r="N741" i="17" a="1"/>
  <c r="N742" i="17" a="1"/>
  <c r="N743" i="17" a="1"/>
  <c r="N744" i="17" a="1"/>
  <c r="N745" i="17" a="1"/>
  <c r="N746" i="17" a="1"/>
  <c r="N747" i="17" a="1"/>
  <c r="N748" i="17" a="1"/>
  <c r="N749" i="17" a="1"/>
  <c r="N750" i="17" a="1"/>
  <c r="N751" i="17" a="1"/>
  <c r="N752" i="17" a="1"/>
  <c r="N753" i="17" a="1"/>
  <c r="N754" i="17" a="1"/>
  <c r="N755" i="17" a="1"/>
  <c r="N756" i="17" a="1"/>
  <c r="N757" i="17" a="1"/>
  <c r="N758" i="17" a="1"/>
  <c r="N759" i="17" a="1"/>
  <c r="N760" i="17" a="1"/>
  <c r="N761" i="17" a="1"/>
  <c r="N762" i="17" a="1"/>
  <c r="N763" i="17" a="1"/>
  <c r="N764" i="17" a="1"/>
  <c r="N765" i="17" a="1"/>
  <c r="N766" i="17" a="1"/>
  <c r="N767" i="17" a="1"/>
  <c r="N768" i="17" a="1"/>
  <c r="N769" i="17" a="1"/>
  <c r="N770" i="17" a="1"/>
  <c r="N771" i="17" a="1"/>
  <c r="N772" i="17" a="1"/>
  <c r="N773" i="17" a="1"/>
  <c r="N774" i="17" a="1"/>
  <c r="N775" i="17" a="1"/>
  <c r="N776" i="17" a="1"/>
  <c r="N777" i="17" a="1"/>
  <c r="N778" i="17" a="1"/>
  <c r="N779" i="17" a="1"/>
  <c r="N780" i="17" a="1"/>
  <c r="N781" i="17" a="1"/>
  <c r="N782" i="17" a="1"/>
  <c r="N783" i="17" a="1"/>
  <c r="N784" i="17" a="1"/>
  <c r="N785" i="17" a="1"/>
  <c r="N786" i="17" a="1"/>
  <c r="N787" i="17" a="1"/>
  <c r="N788" i="17" a="1"/>
  <c r="N789" i="17" a="1"/>
  <c r="N790" i="17" a="1"/>
  <c r="N791" i="17" a="1"/>
  <c r="N792" i="17" a="1"/>
  <c r="N793" i="17" a="1"/>
  <c r="N794" i="17" a="1"/>
  <c r="N795" i="17" a="1"/>
  <c r="N796" i="17" a="1"/>
  <c r="N797" i="17" a="1"/>
  <c r="N798" i="17" a="1"/>
  <c r="N799" i="17" a="1"/>
  <c r="N800" i="17" a="1"/>
  <c r="N801" i="17" a="1"/>
  <c r="N802" i="17" a="1"/>
  <c r="N803" i="17" a="1"/>
  <c r="N804" i="17" a="1"/>
  <c r="N805" i="17" a="1"/>
  <c r="N806" i="17" a="1"/>
  <c r="N807" i="17" a="1"/>
  <c r="N808" i="17" a="1"/>
  <c r="N809" i="17" a="1"/>
  <c r="N810" i="17" a="1"/>
  <c r="N811" i="17" a="1"/>
  <c r="N812" i="17" a="1"/>
  <c r="N813" i="17" a="1"/>
  <c r="N814" i="17" a="1"/>
  <c r="N815" i="17" a="1"/>
  <c r="N816" i="17" a="1"/>
  <c r="N817" i="17" a="1"/>
  <c r="N818" i="17" a="1"/>
  <c r="N819" i="17" a="1"/>
  <c r="N820" i="17" a="1"/>
  <c r="N821" i="17" a="1"/>
  <c r="N822" i="17" a="1"/>
  <c r="N823" i="17" a="1"/>
  <c r="N824" i="17" a="1"/>
  <c r="N825" i="17" a="1"/>
  <c r="N826" i="17" a="1"/>
  <c r="N827" i="17" a="1"/>
  <c r="N828" i="17" a="1"/>
  <c r="N829" i="17" a="1"/>
  <c r="N830" i="17" a="1"/>
  <c r="N831" i="17" a="1"/>
  <c r="N832" i="17" a="1"/>
  <c r="N833" i="17" a="1"/>
  <c r="N834" i="17" a="1"/>
  <c r="N835" i="17" a="1"/>
  <c r="N836" i="17" a="1"/>
  <c r="N837" i="17" a="1"/>
  <c r="N838" i="17" a="1"/>
  <c r="N839" i="17" a="1"/>
  <c r="N840" i="17" a="1"/>
  <c r="N841" i="17" a="1"/>
  <c r="N842" i="17" a="1"/>
  <c r="N843" i="17" a="1"/>
  <c r="N844" i="17" a="1"/>
  <c r="N845" i="17" a="1"/>
  <c r="N846" i="17" a="1"/>
  <c r="N847" i="17" a="1"/>
  <c r="N848" i="17" a="1"/>
  <c r="N849" i="17" a="1"/>
  <c r="N850" i="17" a="1"/>
  <c r="N851" i="17" a="1"/>
  <c r="N852" i="17" a="1"/>
  <c r="N853" i="17" a="1"/>
  <c r="N854" i="17" a="1"/>
  <c r="N855" i="17" a="1"/>
  <c r="N856" i="17" a="1"/>
  <c r="N857" i="17" a="1"/>
  <c r="N858" i="17" a="1"/>
  <c r="N859" i="17" a="1"/>
  <c r="N860" i="17" a="1"/>
  <c r="N861" i="17" a="1"/>
  <c r="N862" i="17" a="1"/>
  <c r="N863" i="17" a="1"/>
  <c r="N864" i="17" a="1"/>
  <c r="N865" i="17" a="1"/>
  <c r="N866" i="17" a="1"/>
  <c r="N867" i="17" a="1"/>
  <c r="N868" i="17" a="1"/>
  <c r="N869" i="17" a="1"/>
  <c r="N870" i="17" a="1"/>
  <c r="N871" i="17" a="1"/>
  <c r="N872" i="17" a="1"/>
  <c r="N873" i="17" a="1"/>
  <c r="N874" i="17" a="1"/>
  <c r="N875" i="17" a="1"/>
  <c r="N876" i="17" a="1"/>
  <c r="N877" i="17" a="1"/>
  <c r="N878" i="17" a="1"/>
  <c r="N879" i="17" a="1"/>
  <c r="N880" i="17" a="1"/>
  <c r="N881" i="17" a="1"/>
  <c r="N882" i="17" a="1"/>
  <c r="N883" i="17" a="1"/>
  <c r="N884" i="17" a="1"/>
  <c r="N885" i="17" a="1"/>
  <c r="N886" i="17" a="1"/>
  <c r="N887" i="17" a="1"/>
  <c r="N888" i="17" a="1"/>
  <c r="N889" i="17" a="1"/>
  <c r="N890" i="17" a="1"/>
  <c r="N891" i="17" a="1"/>
  <c r="N892" i="17" a="1"/>
  <c r="N893" i="17" a="1"/>
  <c r="N894" i="17" a="1"/>
  <c r="N895" i="17" a="1"/>
  <c r="N896" i="17" a="1"/>
  <c r="N897" i="17" a="1"/>
  <c r="N898" i="17" a="1"/>
  <c r="N899" i="17" a="1"/>
  <c r="N900" i="17" a="1"/>
  <c r="N901" i="17" a="1"/>
  <c r="N902" i="17" a="1"/>
  <c r="N903" i="17" a="1"/>
  <c r="N904" i="17" a="1"/>
  <c r="N905" i="17" a="1"/>
  <c r="N906" i="17" a="1"/>
  <c r="N907" i="17" a="1"/>
  <c r="N908" i="17" a="1"/>
  <c r="N909" i="17" a="1"/>
  <c r="N910" i="17" a="1"/>
  <c r="N911" i="17" a="1"/>
  <c r="N912" i="17" a="1"/>
  <c r="N913" i="17" a="1"/>
  <c r="N914" i="17" a="1"/>
  <c r="N915" i="17" a="1"/>
  <c r="N916" i="17" a="1"/>
  <c r="N917" i="17" a="1"/>
  <c r="N918" i="17" a="1"/>
  <c r="N919" i="17" a="1"/>
  <c r="N920" i="17" a="1"/>
  <c r="N921" i="17" a="1"/>
  <c r="N922" i="17" a="1"/>
  <c r="N923" i="17" a="1"/>
  <c r="N924" i="17" a="1"/>
  <c r="N925" i="17" a="1"/>
  <c r="N926" i="17" a="1"/>
  <c r="N927" i="17" a="1"/>
  <c r="N928" i="17" a="1"/>
  <c r="N929" i="17" a="1"/>
  <c r="N930" i="17" a="1"/>
  <c r="N931" i="17" a="1"/>
  <c r="N932" i="17" a="1"/>
  <c r="N933" i="17" a="1"/>
  <c r="N934" i="17" a="1"/>
  <c r="N935" i="17" a="1"/>
  <c r="N936" i="17" a="1"/>
  <c r="N937" i="17" a="1"/>
  <c r="N938" i="17" a="1"/>
  <c r="N939" i="17" a="1"/>
  <c r="N940" i="17" a="1"/>
  <c r="N941" i="17" a="1"/>
  <c r="N942" i="17" a="1"/>
  <c r="N943" i="17" a="1"/>
  <c r="N944" i="17" a="1"/>
  <c r="N945" i="17" a="1"/>
  <c r="N946" i="17" a="1"/>
  <c r="N947" i="17" a="1"/>
  <c r="N948" i="17" a="1"/>
  <c r="N949" i="17" a="1"/>
  <c r="N950" i="17" a="1"/>
  <c r="N951" i="17" a="1"/>
  <c r="N952" i="17" a="1"/>
  <c r="N953" i="17" a="1"/>
  <c r="N954" i="17" a="1"/>
  <c r="N955" i="17" a="1"/>
  <c r="N956" i="17" a="1"/>
  <c r="N957" i="17" a="1"/>
  <c r="N958" i="17" a="1"/>
  <c r="N959" i="17" a="1"/>
  <c r="N960" i="17" a="1"/>
  <c r="N961" i="17" a="1"/>
  <c r="N962" i="17" a="1"/>
  <c r="N963" i="17" a="1"/>
  <c r="N964" i="17" a="1"/>
  <c r="N965" i="17" a="1"/>
  <c r="N966" i="17" a="1"/>
  <c r="N967" i="17" a="1"/>
  <c r="N968" i="17" a="1"/>
  <c r="N969" i="17" a="1"/>
  <c r="N970" i="17" a="1"/>
  <c r="N971" i="17" a="1"/>
  <c r="N972" i="17" a="1"/>
  <c r="G977" i="24"/>
  <c r="B977" i="24" a="1"/>
  <c r="F977" i="24"/>
  <c r="D977" i="24"/>
  <c r="C977" i="24"/>
  <c r="C976" i="24"/>
  <c r="G976" i="24"/>
  <c r="D976" i="24"/>
  <c r="F976" i="24"/>
  <c r="B976" i="24" a="1"/>
  <c r="H976" i="14"/>
  <c r="H975" i="14"/>
  <c r="B975" i="24" a="1"/>
  <c r="D975" i="24"/>
  <c r="G975" i="24"/>
  <c r="C975" i="24"/>
  <c r="F975" i="24"/>
  <c r="N1016" i="24"/>
  <c r="M1016" i="24"/>
  <c r="N1015" i="24"/>
  <c r="M1015" i="24"/>
  <c r="N1014" i="24"/>
  <c r="M1014" i="24"/>
  <c r="N1013" i="24"/>
  <c r="M1013" i="24"/>
  <c r="N1012" i="24"/>
  <c r="M1012" i="24"/>
  <c r="N1011" i="24"/>
  <c r="M1011" i="24"/>
  <c r="N1010" i="24"/>
  <c r="M1010" i="24"/>
  <c r="N1009" i="24"/>
  <c r="M1009" i="24"/>
  <c r="N1008" i="24"/>
  <c r="M1008" i="24"/>
  <c r="N1007" i="24"/>
  <c r="M1007" i="24"/>
  <c r="N1006" i="24"/>
  <c r="M1006" i="24"/>
  <c r="N1005" i="24"/>
  <c r="M1005" i="24"/>
  <c r="N1004" i="24"/>
  <c r="M1004" i="24"/>
  <c r="N1003" i="24"/>
  <c r="M1003" i="24"/>
  <c r="N1002" i="24"/>
  <c r="M1002" i="24"/>
  <c r="N1001" i="24"/>
  <c r="M1001" i="24"/>
  <c r="N1000" i="24"/>
  <c r="M1000" i="24"/>
  <c r="N999" i="24"/>
  <c r="M999" i="24"/>
  <c r="N998" i="24"/>
  <c r="M998" i="24"/>
  <c r="N997" i="24"/>
  <c r="M997" i="24"/>
  <c r="N996" i="24"/>
  <c r="M996" i="24"/>
  <c r="N995" i="24"/>
  <c r="M995" i="24"/>
  <c r="N994" i="24"/>
  <c r="M994" i="24"/>
  <c r="N993" i="24"/>
  <c r="M993" i="24"/>
  <c r="N992" i="24"/>
  <c r="M992" i="24"/>
  <c r="N991" i="24"/>
  <c r="M991" i="24"/>
  <c r="N990" i="24"/>
  <c r="M990" i="24"/>
  <c r="N989" i="24"/>
  <c r="M989" i="24"/>
  <c r="N988" i="24"/>
  <c r="M988" i="24"/>
  <c r="N987" i="24"/>
  <c r="M987" i="24"/>
  <c r="N986" i="24"/>
  <c r="M986" i="24"/>
  <c r="N985" i="24"/>
  <c r="M985" i="24"/>
  <c r="AJ973" i="1"/>
  <c r="P1016" i="24"/>
  <c r="O1016" i="24"/>
  <c r="L1016" i="24"/>
  <c r="K1016" i="24"/>
  <c r="Q1016" i="24"/>
  <c r="Q1015" i="24"/>
  <c r="P1015" i="24"/>
  <c r="O1015" i="24"/>
  <c r="L1015" i="24"/>
  <c r="K1015" i="24"/>
  <c r="Q1014" i="24"/>
  <c r="P1014" i="24"/>
  <c r="O1014" i="24"/>
  <c r="L1014" i="24"/>
  <c r="K1014" i="24"/>
  <c r="Q1013" i="24"/>
  <c r="P1013" i="24"/>
  <c r="O1013" i="24"/>
  <c r="L1013" i="24"/>
  <c r="K1013" i="24"/>
  <c r="Q1012" i="24"/>
  <c r="P1012" i="24"/>
  <c r="O1012" i="24"/>
  <c r="L1012" i="24"/>
  <c r="K1012" i="24"/>
  <c r="O1011" i="24"/>
  <c r="L1011" i="24"/>
  <c r="K1011" i="24"/>
  <c r="Q1011" i="24"/>
  <c r="P1011" i="24"/>
  <c r="O1010" i="24"/>
  <c r="L1010" i="24"/>
  <c r="K1010" i="24"/>
  <c r="Q1010" i="24"/>
  <c r="P1010" i="24"/>
  <c r="Q1009" i="24"/>
  <c r="P1009" i="24"/>
  <c r="O1009" i="24"/>
  <c r="L1009" i="24"/>
  <c r="K1009" i="24"/>
  <c r="Q1008" i="24"/>
  <c r="P1008" i="24"/>
  <c r="O1008" i="24"/>
  <c r="L1008" i="24"/>
  <c r="K1008" i="24"/>
  <c r="Q1007" i="24"/>
  <c r="P1007" i="24"/>
  <c r="O1007" i="24"/>
  <c r="L1007" i="24"/>
  <c r="K1007" i="24"/>
  <c r="O1006" i="24"/>
  <c r="L1006" i="24"/>
  <c r="K1006" i="24"/>
  <c r="Q1006" i="24"/>
  <c r="P1006" i="24"/>
  <c r="O1005" i="24"/>
  <c r="L1005" i="24"/>
  <c r="K1005" i="24"/>
  <c r="P1005" i="24"/>
  <c r="Q1005" i="24"/>
  <c r="Q1004" i="24"/>
  <c r="P1004" i="24"/>
  <c r="O1004" i="24"/>
  <c r="L1004" i="24"/>
  <c r="K1004" i="24"/>
  <c r="Q1003" i="24"/>
  <c r="P1003" i="24"/>
  <c r="O1003" i="24"/>
  <c r="K1003" i="24"/>
  <c r="L1003" i="24"/>
  <c r="Q1002" i="24"/>
  <c r="P1002" i="24"/>
  <c r="O1002" i="24"/>
  <c r="L1002" i="24"/>
  <c r="K1002" i="24"/>
  <c r="Q1001" i="24"/>
  <c r="P1001" i="24"/>
  <c r="O1001" i="24"/>
  <c r="L1001" i="24"/>
  <c r="K1001" i="24"/>
  <c r="O1000" i="24"/>
  <c r="L1000" i="24"/>
  <c r="K1000" i="24"/>
  <c r="Q1000" i="24"/>
  <c r="P1000" i="24"/>
  <c r="O999" i="24"/>
  <c r="L999" i="24"/>
  <c r="K999" i="24"/>
  <c r="Q999" i="24"/>
  <c r="P999" i="24"/>
  <c r="Q998" i="24"/>
  <c r="P998" i="24"/>
  <c r="O998" i="24"/>
  <c r="L998" i="24"/>
  <c r="K998" i="24"/>
  <c r="Q997" i="24"/>
  <c r="P997" i="24"/>
  <c r="O997" i="24"/>
  <c r="L997" i="24"/>
  <c r="K997" i="24"/>
  <c r="P996" i="24"/>
  <c r="O996" i="24"/>
  <c r="L996" i="24"/>
  <c r="K996" i="24"/>
  <c r="Q996" i="24"/>
  <c r="O995" i="24"/>
  <c r="L995" i="24"/>
  <c r="K995" i="24"/>
  <c r="Q995" i="24"/>
  <c r="P995" i="24"/>
  <c r="O994" i="24"/>
  <c r="L994" i="24"/>
  <c r="K994" i="24"/>
  <c r="Q994" i="24"/>
  <c r="P994" i="24"/>
  <c r="Q993" i="24"/>
  <c r="P993" i="24"/>
  <c r="O993" i="24"/>
  <c r="L993" i="24"/>
  <c r="K993" i="24"/>
  <c r="Q992" i="24"/>
  <c r="P992" i="24"/>
  <c r="O992" i="24"/>
  <c r="K992" i="24"/>
  <c r="L992" i="24"/>
  <c r="Q991" i="24"/>
  <c r="P991" i="24"/>
  <c r="O991" i="24"/>
  <c r="L991" i="24"/>
  <c r="K991" i="24"/>
  <c r="Q990" i="24"/>
  <c r="P990" i="24"/>
  <c r="O990" i="24"/>
  <c r="L990" i="24"/>
  <c r="K990" i="24"/>
  <c r="O989" i="24"/>
  <c r="L989" i="24"/>
  <c r="K989" i="24"/>
  <c r="Q989" i="24"/>
  <c r="P989" i="24"/>
  <c r="O988" i="24"/>
  <c r="L988" i="24"/>
  <c r="K988" i="24"/>
  <c r="Q988" i="24"/>
  <c r="P988" i="24"/>
  <c r="Q987" i="24"/>
  <c r="P987" i="24"/>
  <c r="O987" i="24"/>
  <c r="L987" i="24"/>
  <c r="K987" i="24"/>
  <c r="Q986" i="24"/>
  <c r="P986" i="24"/>
  <c r="O986" i="24"/>
  <c r="L986" i="24"/>
  <c r="K986" i="24"/>
  <c r="P985" i="24"/>
  <c r="O985" i="24"/>
  <c r="L985" i="24"/>
  <c r="K985" i="24"/>
  <c r="Q985" i="24"/>
  <c r="J1016" i="24"/>
  <c r="J1015" i="24"/>
  <c r="J1014" i="24"/>
  <c r="J1013" i="24"/>
  <c r="J1012" i="24"/>
  <c r="J1011" i="24"/>
  <c r="J1010" i="24"/>
  <c r="J1009" i="24"/>
  <c r="J1008" i="24"/>
  <c r="J1007" i="24"/>
  <c r="J1006" i="24"/>
  <c r="J1005" i="24"/>
  <c r="J1004" i="24"/>
  <c r="J1003" i="24"/>
  <c r="J1002" i="24"/>
  <c r="J1001" i="24"/>
  <c r="J1000" i="24"/>
  <c r="J999" i="24"/>
  <c r="J998" i="24"/>
  <c r="J997" i="24"/>
  <c r="J996" i="24"/>
  <c r="J995" i="24"/>
  <c r="J994" i="24"/>
  <c r="J993" i="24"/>
  <c r="J992" i="24"/>
  <c r="J991" i="24"/>
  <c r="J990" i="24"/>
  <c r="J989" i="24"/>
  <c r="J988" i="24"/>
  <c r="J987" i="24"/>
  <c r="J986" i="24"/>
  <c r="J985" i="24"/>
  <c r="AJ974" i="1"/>
  <c r="G974" i="24"/>
  <c r="F974" i="24"/>
  <c r="D974" i="24"/>
  <c r="B974" i="24" a="1"/>
  <c r="C974" i="24"/>
  <c r="C973" i="24"/>
  <c r="G973" i="24"/>
  <c r="F973" i="24"/>
  <c r="D973" i="24"/>
  <c r="B973" i="24" a="1"/>
  <c r="AJ972" i="1"/>
  <c r="AJ820" i="1"/>
  <c r="D972" i="14" a="1"/>
  <c r="C972" i="19"/>
  <c r="F972" i="24"/>
  <c r="D972" i="24"/>
  <c r="B972" i="24" a="1"/>
  <c r="G972" i="24"/>
  <c r="C972" i="24"/>
  <c r="G3" i="19"/>
  <c r="H3" i="14"/>
  <c r="G2" i="19"/>
  <c r="H2" i="14"/>
  <c r="G907" i="19"/>
  <c r="AJ909" i="1"/>
  <c r="G909" i="19" s="1"/>
  <c r="G908" i="19" s="1"/>
  <c r="AJ907" i="1"/>
  <c r="AJ14" i="1"/>
  <c r="AJ964" i="1"/>
  <c r="AJ963" i="1"/>
  <c r="AJ878" i="1"/>
  <c r="AJ961" i="1"/>
  <c r="AJ935" i="1"/>
  <c r="AJ931" i="1"/>
  <c r="AJ904" i="1"/>
  <c r="AJ903" i="1" s="1"/>
  <c r="G906" i="19" s="1"/>
  <c r="AJ901" i="1" s="1"/>
  <c r="AJ861" i="1"/>
  <c r="AJ864" i="1" s="1"/>
  <c r="AJ859" i="1" s="1"/>
  <c r="AJ863" i="1" s="1"/>
  <c r="AJ862" i="1" s="1"/>
  <c r="AJ867" i="1"/>
  <c r="AJ866" i="1" s="1"/>
  <c r="AJ819" i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AJ962" i="1"/>
  <c r="AJ887" i="1"/>
  <c r="AJ886" i="1" s="1"/>
  <c r="AJ885" i="1" s="1"/>
  <c r="AJ884" i="1" s="1"/>
  <c r="AJ898" i="1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G971" i="19" s="1"/>
  <c r="AJ897" i="1"/>
  <c r="AJ890" i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I1016" i="24"/>
  <c r="I1015" i="24"/>
  <c r="I1014" i="24"/>
  <c r="I1013" i="24"/>
  <c r="I1012" i="24"/>
  <c r="I1011" i="24"/>
  <c r="I1010" i="24"/>
  <c r="I1009" i="24"/>
  <c r="I1008" i="24"/>
  <c r="I1007" i="24"/>
  <c r="I1006" i="24"/>
  <c r="I1005" i="24"/>
  <c r="I1004" i="24"/>
  <c r="I1003" i="24"/>
  <c r="I1002" i="24"/>
  <c r="I1001" i="24"/>
  <c r="I1000" i="24"/>
  <c r="I999" i="24"/>
  <c r="I998" i="24"/>
  <c r="I997" i="24"/>
  <c r="I996" i="24"/>
  <c r="I995" i="24"/>
  <c r="I994" i="24"/>
  <c r="I993" i="24"/>
  <c r="I992" i="24"/>
  <c r="I991" i="24"/>
  <c r="I990" i="24"/>
  <c r="I989" i="24"/>
  <c r="I988" i="24"/>
  <c r="I987" i="24"/>
  <c r="I986" i="24"/>
  <c r="I985" i="24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C969" i="24"/>
  <c r="G969" i="24"/>
  <c r="F969" i="24"/>
  <c r="D969" i="24"/>
  <c r="B969" i="24" a="1"/>
  <c r="G968" i="24"/>
  <c r="F968" i="24"/>
  <c r="D968" i="24"/>
  <c r="M968" i="14" s="1"/>
  <c r="B968" i="24" a="1"/>
  <c r="C968" i="24"/>
  <c r="C966" i="2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71" i="24"/>
  <c r="G966" i="24"/>
  <c r="F966" i="24"/>
  <c r="D966" i="24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F949" i="24"/>
  <c r="F948" i="24"/>
  <c r="B947" i="24" a="1"/>
  <c r="F947" i="24"/>
  <c r="D947" i="24"/>
  <c r="G946" i="24"/>
  <c r="G945" i="24"/>
  <c r="B944" i="24" a="1"/>
  <c r="G944" i="24"/>
  <c r="F944" i="24"/>
  <c r="D944" i="24"/>
  <c r="M944" i="14" s="1"/>
  <c r="B943" i="24" a="1"/>
  <c r="G943" i="24"/>
  <c r="D943" i="24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B952" i="24" a="1"/>
  <c r="G952" i="24"/>
  <c r="F952" i="24"/>
  <c r="D952" i="24"/>
  <c r="D951" i="24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G938" i="24"/>
  <c r="F938" i="24"/>
  <c r="D938" i="24"/>
  <c r="G937" i="24"/>
  <c r="F937" i="24"/>
  <c r="D937" i="24"/>
  <c r="G936" i="24"/>
  <c r="F936" i="24"/>
  <c r="D936" i="24"/>
  <c r="M936" i="14" s="1"/>
  <c r="D935" i="24"/>
  <c r="G935" i="24"/>
  <c r="F935" i="24"/>
  <c r="G934" i="24"/>
  <c r="F934" i="24"/>
  <c r="D934" i="24"/>
  <c r="G933" i="24"/>
  <c r="F933" i="24"/>
  <c r="D933" i="24"/>
  <c r="G932" i="24"/>
  <c r="F932" i="24"/>
  <c r="D932" i="24"/>
  <c r="F931" i="24"/>
  <c r="G931" i="24"/>
  <c r="D931" i="24"/>
  <c r="G930" i="24"/>
  <c r="F930" i="24"/>
  <c r="D930" i="24"/>
  <c r="F929" i="24"/>
  <c r="D929" i="24"/>
  <c r="G929" i="24"/>
  <c r="D928" i="24"/>
  <c r="F928" i="24"/>
  <c r="G928" i="24"/>
  <c r="G907" i="24"/>
  <c r="F907" i="24"/>
  <c r="D907" i="24"/>
  <c r="F906" i="24"/>
  <c r="G906" i="24"/>
  <c r="D906" i="24"/>
  <c r="G905" i="24"/>
  <c r="F905" i="24"/>
  <c r="D905" i="24"/>
  <c r="G904" i="24"/>
  <c r="D904" i="24"/>
  <c r="F904" i="24"/>
  <c r="G903" i="24"/>
  <c r="F903" i="24"/>
  <c r="D903" i="24"/>
  <c r="G902" i="24"/>
  <c r="F902" i="24"/>
  <c r="D902" i="24"/>
  <c r="G901" i="24"/>
  <c r="F901" i="24"/>
  <c r="D901" i="24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F848" i="24"/>
  <c r="G847" i="24"/>
  <c r="D847" i="24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F926" i="24"/>
  <c r="G926" i="24"/>
  <c r="D926" i="24"/>
  <c r="G925" i="24"/>
  <c r="F925" i="24"/>
  <c r="D925" i="24"/>
  <c r="G924" i="24"/>
  <c r="F924" i="24"/>
  <c r="D924" i="24"/>
  <c r="G923" i="24"/>
  <c r="D923" i="24"/>
  <c r="F923" i="24"/>
  <c r="G922" i="24"/>
  <c r="F922" i="24"/>
  <c r="D922" i="24"/>
  <c r="G921" i="24"/>
  <c r="F921" i="24"/>
  <c r="D921" i="24"/>
  <c r="G920" i="24"/>
  <c r="F920" i="24"/>
  <c r="D920" i="24"/>
  <c r="G919" i="24"/>
  <c r="F919" i="24"/>
  <c r="D919" i="24"/>
  <c r="G918" i="24"/>
  <c r="F918" i="24"/>
  <c r="D918" i="24"/>
  <c r="G917" i="24"/>
  <c r="F917" i="24"/>
  <c r="D917" i="24"/>
  <c r="G916" i="24"/>
  <c r="F916" i="24"/>
  <c r="D916" i="24"/>
  <c r="G915" i="24"/>
  <c r="F915" i="24"/>
  <c r="D915" i="24"/>
  <c r="G914" i="24"/>
  <c r="F914" i="24"/>
  <c r="D914" i="24"/>
  <c r="G913" i="24"/>
  <c r="F913" i="24"/>
  <c r="D913" i="24"/>
  <c r="G912" i="24"/>
  <c r="F912" i="24"/>
  <c r="D912" i="24"/>
  <c r="G911" i="24"/>
  <c r="F911" i="24"/>
  <c r="D911" i="24"/>
  <c r="G910" i="24"/>
  <c r="D910" i="24"/>
  <c r="F910" i="24"/>
  <c r="G909" i="24"/>
  <c r="F909" i="24"/>
  <c r="D909" i="24"/>
  <c r="G908" i="24"/>
  <c r="F908" i="24"/>
  <c r="D908" i="24"/>
  <c r="D875" i="24"/>
  <c r="G873" i="24"/>
  <c r="F873" i="24"/>
  <c r="D873" i="24"/>
  <c r="F872" i="24"/>
  <c r="F871" i="24"/>
  <c r="G870" i="24"/>
  <c r="F870" i="24"/>
  <c r="G869" i="24"/>
  <c r="D869" i="24"/>
  <c r="F868" i="24"/>
  <c r="G868" i="24"/>
  <c r="D867" i="24"/>
  <c r="F866" i="24"/>
  <c r="D865" i="24"/>
  <c r="G864" i="24"/>
  <c r="F863" i="24"/>
  <c r="G863" i="24"/>
  <c r="F862" i="24"/>
  <c r="D862" i="24"/>
  <c r="G861" i="24"/>
  <c r="D861" i="24"/>
  <c r="D860" i="24"/>
  <c r="G859" i="24"/>
  <c r="D859" i="24"/>
  <c r="F858" i="24"/>
  <c r="G856" i="24"/>
  <c r="D856" i="24"/>
  <c r="F855" i="24"/>
  <c r="G854" i="24"/>
  <c r="D853" i="24"/>
  <c r="D852" i="24"/>
  <c r="D851" i="24"/>
  <c r="M851" i="14" s="1"/>
  <c r="F851" i="24"/>
  <c r="F850" i="24"/>
  <c r="G849" i="24"/>
  <c r="F849" i="24"/>
  <c r="D849" i="24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AJ927" i="1"/>
  <c r="AJ926" i="1" s="1"/>
  <c r="AJ928" i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C931" i="19"/>
  <c r="C929" i="19"/>
  <c r="C930" i="19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U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G449" i="19"/>
  <c r="G448" i="19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AJ882" i="1"/>
  <c r="AJ879" i="1"/>
  <c r="AJ881" i="1"/>
  <c r="AJ883" i="1"/>
  <c r="AJ874" i="1"/>
  <c r="AJ872" i="1"/>
  <c r="AJ132" i="1"/>
  <c r="AJ831" i="1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H983" i="24" l="1"/>
  <c r="H984" i="24"/>
  <c r="C973" i="14" a="1"/>
  <c r="AD973" i="17"/>
  <c r="AC973" i="17"/>
  <c r="N983" i="24"/>
  <c r="M983" i="24"/>
  <c r="O983" i="24"/>
  <c r="L983" i="24"/>
  <c r="K983" i="24"/>
  <c r="Q983" i="24"/>
  <c r="P983" i="24"/>
  <c r="J983" i="24"/>
  <c r="I983" i="24"/>
  <c r="H982" i="24"/>
  <c r="M631" i="14"/>
  <c r="M983" i="14"/>
  <c r="AF973" i="17" a="1"/>
  <c r="E973" i="24" s="1"/>
  <c r="AF974" i="17" a="1"/>
  <c r="E974" i="24" s="1"/>
  <c r="AF975" i="17" a="1"/>
  <c r="E975" i="24" s="1"/>
  <c r="C975" i="14" a="1"/>
  <c r="AF976" i="17" a="1"/>
  <c r="E976" i="24" s="1"/>
  <c r="C976" i="14" a="1"/>
  <c r="M982" i="14"/>
  <c r="H981" i="24"/>
  <c r="Q982" i="24"/>
  <c r="P982" i="24"/>
  <c r="O982" i="24"/>
  <c r="L982" i="24"/>
  <c r="K982" i="24"/>
  <c r="N982" i="24"/>
  <c r="M982" i="24"/>
  <c r="I982" i="24"/>
  <c r="J982" i="24"/>
  <c r="M980" i="14"/>
  <c r="M947" i="14"/>
  <c r="M974" i="14"/>
  <c r="M943" i="14"/>
  <c r="M971" i="14"/>
  <c r="M970" i="14"/>
  <c r="M969" i="14"/>
  <c r="M964" i="14"/>
  <c r="M963" i="14"/>
  <c r="M962" i="14"/>
  <c r="M966" i="14"/>
  <c r="M959" i="14"/>
  <c r="M958" i="14"/>
  <c r="M957" i="14"/>
  <c r="M952" i="14"/>
  <c r="M951" i="14"/>
  <c r="M934" i="14"/>
  <c r="M931" i="14"/>
  <c r="M929" i="14"/>
  <c r="M906" i="14"/>
  <c r="M904" i="14"/>
  <c r="M937" i="14"/>
  <c r="M933" i="14"/>
  <c r="M930" i="14"/>
  <c r="M928" i="14"/>
  <c r="M939" i="14"/>
  <c r="M938" i="14"/>
  <c r="M935" i="14"/>
  <c r="M932" i="14"/>
  <c r="M903" i="14"/>
  <c r="M901" i="14"/>
  <c r="M850" i="14"/>
  <c r="M847" i="14"/>
  <c r="M927" i="14"/>
  <c r="M926" i="14"/>
  <c r="M925" i="14"/>
  <c r="M924" i="14"/>
  <c r="M923" i="14"/>
  <c r="M921" i="14"/>
  <c r="M918" i="14"/>
  <c r="M917" i="14"/>
  <c r="M916" i="14"/>
  <c r="M914" i="14"/>
  <c r="M913" i="14"/>
  <c r="M912" i="14"/>
  <c r="M911" i="14"/>
  <c r="M910" i="14"/>
  <c r="M909" i="14"/>
  <c r="M875" i="14"/>
  <c r="M873" i="14"/>
  <c r="M869" i="14"/>
  <c r="M867" i="14"/>
  <c r="M865" i="14"/>
  <c r="M862" i="14"/>
  <c r="M861" i="14"/>
  <c r="M860" i="14"/>
  <c r="M859" i="14"/>
  <c r="M856" i="14"/>
  <c r="M853" i="14"/>
  <c r="M852" i="14"/>
  <c r="M849" i="14"/>
  <c r="M949" i="14"/>
  <c r="M394" i="14"/>
  <c r="M981" i="14"/>
  <c r="H980" i="24"/>
  <c r="H978" i="24"/>
  <c r="H977" i="24"/>
  <c r="H976" i="24"/>
  <c r="H979" i="24"/>
  <c r="M542" i="14"/>
  <c r="M978" i="14"/>
  <c r="Q977" i="24"/>
  <c r="P977" i="24"/>
  <c r="I977" i="24"/>
  <c r="N976" i="24"/>
  <c r="M976" i="24"/>
  <c r="I976" i="24"/>
  <c r="AC972" i="17"/>
  <c r="AD972" i="17"/>
  <c r="AC947" i="17"/>
  <c r="AD947" i="17"/>
  <c r="AC952" i="17"/>
  <c r="AD952" i="17"/>
  <c r="AC953" i="17"/>
  <c r="AD953" i="17"/>
  <c r="AD954" i="17"/>
  <c r="AC954" i="17"/>
  <c r="AC955" i="17"/>
  <c r="AD955" i="17"/>
  <c r="AC937" i="17"/>
  <c r="AD937" i="17"/>
  <c r="AC938" i="17"/>
  <c r="AD938" i="17"/>
  <c r="AC939" i="17"/>
  <c r="AD939" i="17"/>
  <c r="AD940" i="17"/>
  <c r="AC940" i="17"/>
  <c r="AD941" i="17"/>
  <c r="AC941" i="17"/>
  <c r="AC942" i="17"/>
  <c r="AD942" i="17"/>
  <c r="AD943" i="17"/>
  <c r="AC943" i="17"/>
  <c r="AC945" i="17"/>
  <c r="AD945" i="17"/>
  <c r="AD946" i="17"/>
  <c r="AC946" i="17"/>
  <c r="AD950" i="17"/>
  <c r="AC950" i="17"/>
  <c r="AC956" i="17"/>
  <c r="AD956" i="17"/>
  <c r="AD957" i="17"/>
  <c r="AC957" i="17"/>
  <c r="AD958" i="17"/>
  <c r="AC958" i="17"/>
  <c r="AC959" i="17"/>
  <c r="AD959" i="17"/>
  <c r="AC960" i="17"/>
  <c r="AD960" i="17"/>
  <c r="AD961" i="17"/>
  <c r="AC961" i="17"/>
  <c r="AD962" i="17"/>
  <c r="AC962" i="17"/>
  <c r="AC963" i="17"/>
  <c r="AD963" i="17"/>
  <c r="AC964" i="17"/>
  <c r="AD964" i="17"/>
  <c r="AD971" i="17"/>
  <c r="AC971" i="17"/>
  <c r="AC970" i="17"/>
  <c r="AD970" i="17"/>
  <c r="AD968" i="17"/>
  <c r="AC968" i="17"/>
  <c r="AC967" i="17"/>
  <c r="AD967" i="17"/>
  <c r="AD966" i="17"/>
  <c r="AC966" i="17"/>
  <c r="AD965" i="17"/>
  <c r="AC965" i="17"/>
  <c r="AC969" i="17"/>
  <c r="AD969" i="17"/>
  <c r="AF972" i="17" a="1"/>
  <c r="E972" i="24" s="1"/>
  <c r="M824" i="14"/>
  <c r="M977" i="14"/>
  <c r="M975" i="14"/>
  <c r="M976" i="14"/>
  <c r="H975" i="24"/>
  <c r="H819" i="24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F939" i="17" a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C947" i="14" a="1"/>
  <c r="C952" i="14" a="1"/>
  <c r="C953" i="14" a="1"/>
  <c r="C954" i="14" a="1"/>
  <c r="C955" i="14" a="1"/>
  <c r="C937" i="14" a="1"/>
  <c r="AF937" i="17" a="1"/>
  <c r="E937" i="24" s="1"/>
  <c r="AF956" i="17" a="1"/>
  <c r="C956" i="14" a="1"/>
  <c r="C957" i="14" a="1"/>
  <c r="C958" i="14" a="1"/>
  <c r="AF958" i="17" a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AF955" i="17" a="1"/>
  <c r="C938" i="14" a="1"/>
  <c r="AF938" i="17" a="1"/>
  <c r="C945" i="14" a="1"/>
  <c r="C946" i="14" a="1"/>
  <c r="C959" i="14" a="1"/>
  <c r="C960" i="14" a="1"/>
  <c r="C961" i="14" a="1"/>
  <c r="AF962" i="17" a="1"/>
  <c r="C962" i="14" a="1"/>
  <c r="AJ902" i="1"/>
  <c r="M907" i="14"/>
  <c r="M905" i="14"/>
  <c r="H904" i="24"/>
  <c r="AJ908" i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C940" i="14" a="1"/>
  <c r="C941" i="14" a="1"/>
  <c r="C942" i="14" a="1"/>
  <c r="C943" i="14" a="1"/>
  <c r="C963" i="14" a="1"/>
  <c r="AF963" i="17" a="1"/>
  <c r="E963" i="24" s="1"/>
  <c r="AF964" i="17" a="1"/>
  <c r="C964" i="14" a="1"/>
  <c r="M897" i="14"/>
  <c r="M896" i="14"/>
  <c r="AJ920" i="1"/>
  <c r="M922" i="14"/>
  <c r="H971" i="24"/>
  <c r="C950" i="14" a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4"/>
  <c r="AJ915" i="1"/>
  <c r="AJ912" i="1" s="1"/>
  <c r="M919" i="14"/>
  <c r="AJ910" i="1"/>
  <c r="AJ913" i="1" s="1"/>
  <c r="AJ911" i="1" s="1"/>
  <c r="M915" i="14"/>
  <c r="C971" i="14" a="1"/>
  <c r="AF971" i="17" a="1"/>
  <c r="E971" i="24" s="1"/>
  <c r="C970" i="14" a="1"/>
  <c r="AF970" i="17" a="1"/>
  <c r="E970" i="24" s="1"/>
  <c r="C968" i="14" a="1"/>
  <c r="AF968" i="17" a="1"/>
  <c r="E968" i="24" s="1"/>
  <c r="C967" i="14" a="1"/>
  <c r="AF967" i="17" a="1"/>
  <c r="C966" i="14" a="1"/>
  <c r="C965" i="14" a="1"/>
  <c r="AF965" i="17" a="1"/>
  <c r="C969" i="14" a="1"/>
  <c r="AF969" i="17" a="1"/>
  <c r="H2" i="24"/>
  <c r="I984" i="24" l="1"/>
  <c r="J984" i="24"/>
  <c r="P984" i="24"/>
  <c r="Q984" i="24"/>
  <c r="K984" i="24"/>
  <c r="L984" i="24"/>
  <c r="O984" i="24"/>
  <c r="M984" i="24"/>
  <c r="N984" i="24"/>
  <c r="N977" i="24"/>
  <c r="M977" i="24"/>
  <c r="P981" i="24"/>
  <c r="K981" i="24"/>
  <c r="I981" i="24"/>
  <c r="N981" i="24"/>
  <c r="M981" i="24"/>
  <c r="Q981" i="24"/>
  <c r="O981" i="24"/>
  <c r="L981" i="24"/>
  <c r="J981" i="24"/>
  <c r="E967" i="24"/>
  <c r="E955" i="24"/>
  <c r="E938" i="24"/>
  <c r="E962" i="24"/>
  <c r="E964" i="24"/>
  <c r="E969" i="24"/>
  <c r="N980" i="24"/>
  <c r="M980" i="24"/>
  <c r="I978" i="24"/>
  <c r="N978" i="24"/>
  <c r="M978" i="24"/>
  <c r="O978" i="24"/>
  <c r="L978" i="24"/>
  <c r="K978" i="24"/>
  <c r="Q978" i="24"/>
  <c r="P978" i="24"/>
  <c r="J978" i="24"/>
  <c r="J980" i="24"/>
  <c r="L980" i="24"/>
  <c r="O980" i="24"/>
  <c r="Q980" i="24"/>
  <c r="K980" i="24"/>
  <c r="P980" i="24"/>
  <c r="I980" i="24"/>
  <c r="J977" i="24"/>
  <c r="O977" i="24"/>
  <c r="K977" i="24"/>
  <c r="L977" i="24"/>
  <c r="Q976" i="24"/>
  <c r="O976" i="24"/>
  <c r="J976" i="24"/>
  <c r="L976" i="24"/>
  <c r="K976" i="24"/>
  <c r="P976" i="24"/>
  <c r="I979" i="24"/>
  <c r="J979" i="24"/>
  <c r="Q979" i="24"/>
  <c r="O979" i="24"/>
  <c r="K979" i="24"/>
  <c r="L979" i="24"/>
  <c r="P979" i="24"/>
  <c r="M979" i="24"/>
  <c r="N979" i="24"/>
  <c r="N975" i="24"/>
  <c r="Q975" i="24"/>
  <c r="P975" i="24"/>
  <c r="M975" i="24"/>
  <c r="L975" i="24"/>
  <c r="K975" i="24"/>
  <c r="I975" i="24"/>
  <c r="O975" i="24"/>
  <c r="J975" i="24"/>
  <c r="M819" i="24"/>
  <c r="N819" i="24"/>
  <c r="M126" i="24"/>
  <c r="N126" i="24"/>
  <c r="M604" i="24"/>
  <c r="N604" i="24"/>
  <c r="N441" i="24"/>
  <c r="M441" i="24"/>
  <c r="M798" i="24"/>
  <c r="N798" i="24"/>
  <c r="N670" i="24"/>
  <c r="M670" i="24"/>
  <c r="N669" i="24"/>
  <c r="M669" i="24"/>
  <c r="M672" i="24"/>
  <c r="N672" i="24"/>
  <c r="N680" i="24"/>
  <c r="M680" i="24"/>
  <c r="M786" i="24"/>
  <c r="N786" i="24"/>
  <c r="M783" i="24"/>
  <c r="N783" i="24"/>
  <c r="M746" i="24"/>
  <c r="N746" i="24"/>
  <c r="M788" i="24"/>
  <c r="N788" i="24"/>
  <c r="N791" i="24"/>
  <c r="M791" i="24"/>
  <c r="M681" i="24"/>
  <c r="N681" i="24"/>
  <c r="M792" i="24"/>
  <c r="N792" i="24"/>
  <c r="M38" i="24"/>
  <c r="N38" i="24"/>
  <c r="M789" i="24"/>
  <c r="N789" i="24"/>
  <c r="M674" i="24"/>
  <c r="N674" i="24"/>
  <c r="M626" i="24"/>
  <c r="N626" i="24"/>
  <c r="N729" i="24"/>
  <c r="M729" i="24"/>
  <c r="N715" i="24"/>
  <c r="M715" i="24"/>
  <c r="M705" i="24"/>
  <c r="N705" i="24"/>
  <c r="M696" i="24"/>
  <c r="N696" i="24"/>
  <c r="M691" i="24"/>
  <c r="N691" i="24"/>
  <c r="M686" i="24"/>
  <c r="N686" i="24"/>
  <c r="N682" i="24"/>
  <c r="M682" i="24"/>
  <c r="M662" i="24"/>
  <c r="N662" i="24"/>
  <c r="M661" i="24"/>
  <c r="N661" i="24"/>
  <c r="N648" i="24"/>
  <c r="M648" i="24"/>
  <c r="N647" i="24"/>
  <c r="M647" i="24"/>
  <c r="M646" i="24"/>
  <c r="N646" i="24"/>
  <c r="N645" i="24"/>
  <c r="M645" i="24"/>
  <c r="N642" i="24"/>
  <c r="M642" i="24"/>
  <c r="N641" i="24"/>
  <c r="M641" i="24"/>
  <c r="N640" i="24"/>
  <c r="M640" i="24"/>
  <c r="N635" i="24"/>
  <c r="M635" i="24"/>
  <c r="M631" i="24"/>
  <c r="N631" i="24"/>
  <c r="M629" i="24"/>
  <c r="N629" i="24"/>
  <c r="M628" i="24"/>
  <c r="N628" i="24"/>
  <c r="N627" i="24"/>
  <c r="M627" i="24"/>
  <c r="M622" i="24"/>
  <c r="N622" i="24"/>
  <c r="M259" i="24"/>
  <c r="N259" i="24"/>
  <c r="N229" i="24"/>
  <c r="M229" i="24"/>
  <c r="N84" i="24"/>
  <c r="M84" i="24"/>
  <c r="N614" i="24"/>
  <c r="M614" i="24"/>
  <c r="M593" i="24"/>
  <c r="N593" i="24"/>
  <c r="N581" i="24"/>
  <c r="M581" i="24"/>
  <c r="N576" i="24"/>
  <c r="M576" i="24"/>
  <c r="M549" i="24"/>
  <c r="N549" i="24"/>
  <c r="N544" i="24"/>
  <c r="M544" i="24"/>
  <c r="N538" i="24"/>
  <c r="M538" i="24"/>
  <c r="N525" i="24"/>
  <c r="M525" i="24"/>
  <c r="M519" i="24"/>
  <c r="N519" i="24"/>
  <c r="M518" i="24"/>
  <c r="N518" i="24"/>
  <c r="N512" i="24"/>
  <c r="M512" i="24"/>
  <c r="M506" i="24"/>
  <c r="N506" i="24"/>
  <c r="N501" i="24"/>
  <c r="M501" i="24"/>
  <c r="M495" i="24"/>
  <c r="N495" i="24"/>
  <c r="N468" i="24"/>
  <c r="M468" i="24"/>
  <c r="M464" i="24"/>
  <c r="N464" i="24"/>
  <c r="N449" i="24"/>
  <c r="M449" i="24"/>
  <c r="N448" i="24"/>
  <c r="M448" i="24"/>
  <c r="N442" i="24"/>
  <c r="M442" i="24"/>
  <c r="M425" i="24"/>
  <c r="N425" i="24"/>
  <c r="N420" i="24"/>
  <c r="M420" i="24"/>
  <c r="N419" i="24"/>
  <c r="M419" i="24"/>
  <c r="M404" i="24"/>
  <c r="N404" i="24"/>
  <c r="N398" i="24"/>
  <c r="M398" i="24"/>
  <c r="N390" i="24"/>
  <c r="M390" i="24"/>
  <c r="M389" i="24"/>
  <c r="N389" i="24"/>
  <c r="N354" i="24"/>
  <c r="M354" i="24"/>
  <c r="N348" i="24"/>
  <c r="M348" i="24"/>
  <c r="N342" i="24"/>
  <c r="M342" i="24"/>
  <c r="M224" i="24"/>
  <c r="N224" i="24"/>
  <c r="M188" i="24"/>
  <c r="N188" i="24"/>
  <c r="N37" i="24"/>
  <c r="M37" i="24"/>
  <c r="M25" i="24"/>
  <c r="N25" i="24"/>
  <c r="N15" i="24"/>
  <c r="M15" i="24"/>
  <c r="N14" i="24"/>
  <c r="M14" i="24"/>
  <c r="M11" i="24"/>
  <c r="N11" i="24"/>
  <c r="M10" i="24"/>
  <c r="N10" i="24"/>
  <c r="N6" i="24"/>
  <c r="M6" i="24"/>
  <c r="M773" i="24"/>
  <c r="N773" i="24"/>
  <c r="M765" i="24"/>
  <c r="N765" i="24"/>
  <c r="M760" i="24"/>
  <c r="N760" i="24"/>
  <c r="N758" i="24"/>
  <c r="M758" i="24"/>
  <c r="N753" i="24"/>
  <c r="M753" i="24"/>
  <c r="N744" i="24"/>
  <c r="M744" i="24"/>
  <c r="N743" i="24"/>
  <c r="M743" i="24"/>
  <c r="M638" i="24"/>
  <c r="N638" i="24"/>
  <c r="N624" i="24"/>
  <c r="M624" i="24"/>
  <c r="M241" i="24"/>
  <c r="N241" i="24"/>
  <c r="N238" i="24"/>
  <c r="M238" i="24"/>
  <c r="N236" i="24"/>
  <c r="M236" i="24"/>
  <c r="N225" i="24"/>
  <c r="M225" i="24"/>
  <c r="N216" i="24"/>
  <c r="M216" i="24"/>
  <c r="N953" i="24"/>
  <c r="M953" i="24"/>
  <c r="N109" i="24"/>
  <c r="M109" i="24"/>
  <c r="M618" i="24"/>
  <c r="N618" i="24"/>
  <c r="M615" i="24"/>
  <c r="N615" i="24"/>
  <c r="N577" i="24"/>
  <c r="M577" i="24"/>
  <c r="N567" i="24"/>
  <c r="M567" i="24"/>
  <c r="M560" i="24"/>
  <c r="N560" i="24"/>
  <c r="M558" i="24"/>
  <c r="N558" i="24"/>
  <c r="M557" i="24"/>
  <c r="N557" i="24"/>
  <c r="M527" i="24"/>
  <c r="N527" i="24"/>
  <c r="N517" i="24"/>
  <c r="M517" i="24"/>
  <c r="N516" i="24"/>
  <c r="M516" i="24"/>
  <c r="N507" i="24"/>
  <c r="M507" i="24"/>
  <c r="M504" i="24"/>
  <c r="N504" i="24"/>
  <c r="M503" i="24"/>
  <c r="N503" i="24"/>
  <c r="M479" i="24"/>
  <c r="N479" i="24"/>
  <c r="M452" i="24"/>
  <c r="N452" i="24"/>
  <c r="M451" i="24"/>
  <c r="N451" i="24"/>
  <c r="N450" i="24"/>
  <c r="M450" i="24"/>
  <c r="M440" i="24"/>
  <c r="N440" i="24"/>
  <c r="N439" i="24"/>
  <c r="M439" i="24"/>
  <c r="N438" i="24"/>
  <c r="M438" i="24"/>
  <c r="M436" i="24"/>
  <c r="N436" i="24"/>
  <c r="M430" i="24"/>
  <c r="N430" i="24"/>
  <c r="M421" i="24"/>
  <c r="N421" i="24"/>
  <c r="N409" i="24"/>
  <c r="M409" i="24"/>
  <c r="M402" i="24"/>
  <c r="N402" i="24"/>
  <c r="M383" i="24"/>
  <c r="N383" i="24"/>
  <c r="N360" i="24"/>
  <c r="M360" i="24"/>
  <c r="M337" i="24"/>
  <c r="N337" i="24"/>
  <c r="N28" i="24"/>
  <c r="M28" i="24"/>
  <c r="M22" i="24"/>
  <c r="N22" i="24"/>
  <c r="N7" i="24"/>
  <c r="M7" i="24"/>
  <c r="M5" i="24"/>
  <c r="N5" i="24"/>
  <c r="M3" i="24"/>
  <c r="N3" i="24"/>
  <c r="M226" i="24"/>
  <c r="N226" i="24"/>
  <c r="M599" i="24"/>
  <c r="N599" i="24"/>
  <c r="N585" i="24"/>
  <c r="M585" i="24"/>
  <c r="M575" i="24"/>
  <c r="N575" i="24"/>
  <c r="N573" i="24"/>
  <c r="M573" i="24"/>
  <c r="M571" i="24"/>
  <c r="N571" i="24"/>
  <c r="N568" i="24"/>
  <c r="M568" i="24"/>
  <c r="M561" i="24"/>
  <c r="N561" i="24"/>
  <c r="M530" i="24"/>
  <c r="N530" i="24"/>
  <c r="N528" i="24"/>
  <c r="M528" i="24"/>
  <c r="M502" i="24"/>
  <c r="N502" i="24"/>
  <c r="M500" i="24"/>
  <c r="N500" i="24"/>
  <c r="N488" i="24"/>
  <c r="M488" i="24"/>
  <c r="M475" i="24"/>
  <c r="N475" i="24"/>
  <c r="M461" i="24"/>
  <c r="N461" i="24"/>
  <c r="N432" i="24"/>
  <c r="M432" i="24"/>
  <c r="N431" i="24"/>
  <c r="M431" i="24"/>
  <c r="M424" i="24"/>
  <c r="N424" i="24"/>
  <c r="N423" i="24"/>
  <c r="M423" i="24"/>
  <c r="M386" i="24"/>
  <c r="N386" i="24"/>
  <c r="M384" i="24"/>
  <c r="N384" i="24"/>
  <c r="M381" i="24"/>
  <c r="N381" i="24"/>
  <c r="M376" i="24"/>
  <c r="N376" i="24"/>
  <c r="N371" i="24"/>
  <c r="M371" i="24"/>
  <c r="N357" i="24"/>
  <c r="M357" i="24"/>
  <c r="N351" i="24"/>
  <c r="M351" i="24"/>
  <c r="N341" i="24"/>
  <c r="M341" i="24"/>
  <c r="N333" i="24"/>
  <c r="M333" i="24"/>
  <c r="N332" i="24"/>
  <c r="M332" i="24"/>
  <c r="N200" i="24"/>
  <c r="M200" i="24"/>
  <c r="N47" i="24"/>
  <c r="M47" i="24"/>
  <c r="M39" i="24"/>
  <c r="N39" i="24"/>
  <c r="M35" i="24"/>
  <c r="N35" i="24"/>
  <c r="M33" i="24"/>
  <c r="N33" i="24"/>
  <c r="N32" i="24"/>
  <c r="M32" i="24"/>
  <c r="M30" i="24"/>
  <c r="N30" i="24"/>
  <c r="M20" i="24"/>
  <c r="N20" i="24"/>
  <c r="N8" i="24"/>
  <c r="M8" i="24"/>
  <c r="N778" i="24"/>
  <c r="M778" i="24"/>
  <c r="M776" i="24"/>
  <c r="N776" i="24"/>
  <c r="M775" i="24"/>
  <c r="N775" i="24"/>
  <c r="N768" i="24"/>
  <c r="M768" i="24"/>
  <c r="M735" i="24"/>
  <c r="N735" i="24"/>
  <c r="N731" i="24"/>
  <c r="M731" i="24"/>
  <c r="M730" i="24"/>
  <c r="N730" i="24"/>
  <c r="N727" i="24"/>
  <c r="M727" i="24"/>
  <c r="N726" i="24"/>
  <c r="M726" i="24"/>
  <c r="N722" i="24"/>
  <c r="M722" i="24"/>
  <c r="N710" i="24"/>
  <c r="M710" i="24"/>
  <c r="M709" i="24"/>
  <c r="N709" i="24"/>
  <c r="M666" i="24"/>
  <c r="N666" i="24"/>
  <c r="N658" i="24"/>
  <c r="M658" i="24"/>
  <c r="N652" i="24"/>
  <c r="M652" i="24"/>
  <c r="N651" i="24"/>
  <c r="M651" i="24"/>
  <c r="N650" i="24"/>
  <c r="M650" i="24"/>
  <c r="N644" i="24"/>
  <c r="M644" i="24"/>
  <c r="M643" i="24"/>
  <c r="N643" i="24"/>
  <c r="M637" i="24"/>
  <c r="N637" i="24"/>
  <c r="N636" i="24"/>
  <c r="M636" i="24"/>
  <c r="M632" i="24"/>
  <c r="N632" i="24"/>
  <c r="M623" i="24"/>
  <c r="N623" i="24"/>
  <c r="N280" i="24"/>
  <c r="M280" i="24"/>
  <c r="N227" i="24"/>
  <c r="M227" i="24"/>
  <c r="M91" i="24"/>
  <c r="N91" i="24"/>
  <c r="N619" i="24"/>
  <c r="M619" i="24"/>
  <c r="N602" i="24"/>
  <c r="M602" i="24"/>
  <c r="M564" i="24"/>
  <c r="N564" i="24"/>
  <c r="N559" i="24"/>
  <c r="M559" i="24"/>
  <c r="M550" i="24"/>
  <c r="N550" i="24"/>
  <c r="M548" i="24"/>
  <c r="N548" i="24"/>
  <c r="N543" i="24"/>
  <c r="M543" i="24"/>
  <c r="M541" i="24"/>
  <c r="N541" i="24"/>
  <c r="N520" i="24"/>
  <c r="M520" i="24"/>
  <c r="N508" i="24"/>
  <c r="M508" i="24"/>
  <c r="M489" i="24"/>
  <c r="N489" i="24"/>
  <c r="N472" i="24"/>
  <c r="M472" i="24"/>
  <c r="N458" i="24"/>
  <c r="M458" i="24"/>
  <c r="N447" i="24"/>
  <c r="M447" i="24"/>
  <c r="N446" i="24"/>
  <c r="M446" i="24"/>
  <c r="M445" i="24"/>
  <c r="N445" i="24"/>
  <c r="M380" i="24"/>
  <c r="N380" i="24"/>
  <c r="M366" i="24"/>
  <c r="N366" i="24"/>
  <c r="M343" i="24"/>
  <c r="N343" i="24"/>
  <c r="M329" i="24"/>
  <c r="N329" i="24"/>
  <c r="M221" i="24"/>
  <c r="N221" i="24"/>
  <c r="N220" i="24"/>
  <c r="M220" i="24"/>
  <c r="N23" i="24"/>
  <c r="M23" i="24"/>
  <c r="N764" i="24"/>
  <c r="M764" i="24"/>
  <c r="M569" i="24"/>
  <c r="N569" i="24"/>
  <c r="N565" i="24"/>
  <c r="M565" i="24"/>
  <c r="N563" i="24"/>
  <c r="M563" i="24"/>
  <c r="M526" i="24"/>
  <c r="N526" i="24"/>
  <c r="M459" i="24"/>
  <c r="N459" i="24"/>
  <c r="N457" i="24"/>
  <c r="M457" i="24"/>
  <c r="M394" i="24"/>
  <c r="N394" i="24"/>
  <c r="N391" i="24"/>
  <c r="M391" i="24"/>
  <c r="N888" i="24"/>
  <c r="M888" i="24"/>
  <c r="M923" i="24"/>
  <c r="N923" i="24"/>
  <c r="N19" i="24"/>
  <c r="M19" i="24"/>
  <c r="M974" i="24"/>
  <c r="N974" i="24"/>
  <c r="M973" i="24"/>
  <c r="N973" i="24"/>
  <c r="M960" i="24"/>
  <c r="N960" i="24"/>
  <c r="N958" i="24"/>
  <c r="M958" i="24"/>
  <c r="M782" i="24"/>
  <c r="N782" i="24"/>
  <c r="N777" i="24"/>
  <c r="M777" i="24"/>
  <c r="N774" i="24"/>
  <c r="M774" i="24"/>
  <c r="M772" i="24"/>
  <c r="N772" i="24"/>
  <c r="M771" i="24"/>
  <c r="N771" i="24"/>
  <c r="N770" i="24"/>
  <c r="M770" i="24"/>
  <c r="M769" i="24"/>
  <c r="N769" i="24"/>
  <c r="N763" i="24"/>
  <c r="M763" i="24"/>
  <c r="M761" i="24"/>
  <c r="N761" i="24"/>
  <c r="N759" i="24"/>
  <c r="M759" i="24"/>
  <c r="N741" i="24"/>
  <c r="M741" i="24"/>
  <c r="M733" i="24"/>
  <c r="N733" i="24"/>
  <c r="M732" i="24"/>
  <c r="N732" i="24"/>
  <c r="N723" i="24"/>
  <c r="M723" i="24"/>
  <c r="N719" i="24"/>
  <c r="M719" i="24"/>
  <c r="M718" i="24"/>
  <c r="N718" i="24"/>
  <c r="M714" i="24"/>
  <c r="N714" i="24"/>
  <c r="N707" i="24"/>
  <c r="M707" i="24"/>
  <c r="N702" i="24"/>
  <c r="M702" i="24"/>
  <c r="M701" i="24"/>
  <c r="N701" i="24"/>
  <c r="N700" i="24"/>
  <c r="M700" i="24"/>
  <c r="N699" i="24"/>
  <c r="M699" i="24"/>
  <c r="M694" i="24"/>
  <c r="N694" i="24"/>
  <c r="M693" i="24"/>
  <c r="N693" i="24"/>
  <c r="M689" i="24"/>
  <c r="N689" i="24"/>
  <c r="N684" i="24"/>
  <c r="M684" i="24"/>
  <c r="N665" i="24"/>
  <c r="M665" i="24"/>
  <c r="N664" i="24"/>
  <c r="M664" i="24"/>
  <c r="N660" i="24"/>
  <c r="M660" i="24"/>
  <c r="N656" i="24"/>
  <c r="M656" i="24"/>
  <c r="N655" i="24"/>
  <c r="M655" i="24"/>
  <c r="M654" i="24"/>
  <c r="N654" i="24"/>
  <c r="M653" i="24"/>
  <c r="N653" i="24"/>
  <c r="N649" i="24"/>
  <c r="M649" i="24"/>
  <c r="M639" i="24"/>
  <c r="N639" i="24"/>
  <c r="N634" i="24"/>
  <c r="M634" i="24"/>
  <c r="M633" i="24"/>
  <c r="N633" i="24"/>
  <c r="N630" i="24"/>
  <c r="M630" i="24"/>
  <c r="N233" i="24"/>
  <c r="M233" i="24"/>
  <c r="N228" i="24"/>
  <c r="M228" i="24"/>
  <c r="M180" i="24"/>
  <c r="N180" i="24"/>
  <c r="M161" i="24"/>
  <c r="N161" i="24"/>
  <c r="N119" i="24"/>
  <c r="M119" i="24"/>
  <c r="M104" i="24"/>
  <c r="N104" i="24"/>
  <c r="N60" i="24"/>
  <c r="M60" i="24"/>
  <c r="N620" i="24"/>
  <c r="M620" i="24"/>
  <c r="M613" i="24"/>
  <c r="N613" i="24"/>
  <c r="M610" i="24"/>
  <c r="N610" i="24"/>
  <c r="M556" i="24"/>
  <c r="N556" i="24"/>
  <c r="M555" i="24"/>
  <c r="N555" i="24"/>
  <c r="M554" i="24"/>
  <c r="N554" i="24"/>
  <c r="N553" i="24"/>
  <c r="M553" i="24"/>
  <c r="M551" i="24"/>
  <c r="N551" i="24"/>
  <c r="N546" i="24"/>
  <c r="M546" i="24"/>
  <c r="N545" i="24"/>
  <c r="M545" i="24"/>
  <c r="M539" i="24"/>
  <c r="N539" i="24"/>
  <c r="N532" i="24"/>
  <c r="M532" i="24"/>
  <c r="N529" i="24"/>
  <c r="M529" i="24"/>
  <c r="M524" i="24"/>
  <c r="N524" i="24"/>
  <c r="N522" i="24"/>
  <c r="M522" i="24"/>
  <c r="N521" i="24"/>
  <c r="M521" i="24"/>
  <c r="N515" i="24"/>
  <c r="M515" i="24"/>
  <c r="N514" i="24"/>
  <c r="M514" i="24"/>
  <c r="M513" i="24"/>
  <c r="N513" i="24"/>
  <c r="M492" i="24"/>
  <c r="N492" i="24"/>
  <c r="M477" i="24"/>
  <c r="N477" i="24"/>
  <c r="N469" i="24"/>
  <c r="M469" i="24"/>
  <c r="N462" i="24"/>
  <c r="M462" i="24"/>
  <c r="M443" i="24"/>
  <c r="N443" i="24"/>
  <c r="N429" i="24"/>
  <c r="M429" i="24"/>
  <c r="M427" i="24"/>
  <c r="N427" i="24"/>
  <c r="N373" i="24"/>
  <c r="M373" i="24"/>
  <c r="N372" i="24"/>
  <c r="M372" i="24"/>
  <c r="N331" i="24"/>
  <c r="M331" i="24"/>
  <c r="M330" i="24"/>
  <c r="N330" i="24"/>
  <c r="N43" i="24"/>
  <c r="M43" i="24"/>
  <c r="M36" i="24"/>
  <c r="N36" i="24"/>
  <c r="M31" i="24"/>
  <c r="N31" i="24"/>
  <c r="M29" i="24"/>
  <c r="N29" i="24"/>
  <c r="N954" i="24"/>
  <c r="M954" i="24"/>
  <c r="N752" i="24"/>
  <c r="M752" i="24"/>
  <c r="M751" i="24"/>
  <c r="N751" i="24"/>
  <c r="M749" i="24"/>
  <c r="N749" i="24"/>
  <c r="M745" i="24"/>
  <c r="N745" i="24"/>
  <c r="N742" i="24"/>
  <c r="M742" i="24"/>
  <c r="N713" i="24"/>
  <c r="M713" i="24"/>
  <c r="M712" i="24"/>
  <c r="N712" i="24"/>
  <c r="N708" i="24"/>
  <c r="M708" i="24"/>
  <c r="M683" i="24"/>
  <c r="N683" i="24"/>
  <c r="M657" i="24"/>
  <c r="N657" i="24"/>
  <c r="N625" i="24"/>
  <c r="M625" i="24"/>
  <c r="M232" i="24"/>
  <c r="N232" i="24"/>
  <c r="N572" i="24"/>
  <c r="M572" i="24"/>
  <c r="M537" i="24"/>
  <c r="N537" i="24"/>
  <c r="N534" i="24"/>
  <c r="M534" i="24"/>
  <c r="M437" i="24"/>
  <c r="N437" i="24"/>
  <c r="M435" i="24"/>
  <c r="N435" i="24"/>
  <c r="M873" i="24"/>
  <c r="N873" i="24"/>
  <c r="N460" i="24"/>
  <c r="M460" i="24"/>
  <c r="M434" i="24"/>
  <c r="N434" i="24"/>
  <c r="N335" i="24"/>
  <c r="M335" i="24"/>
  <c r="M414" i="24"/>
  <c r="N414" i="24"/>
  <c r="M369" i="24"/>
  <c r="N369" i="24"/>
  <c r="M362" i="24"/>
  <c r="N362" i="24"/>
  <c r="M413" i="24"/>
  <c r="N413" i="24"/>
  <c r="M927" i="24"/>
  <c r="N927" i="24"/>
  <c r="M617" i="24"/>
  <c r="N617" i="24"/>
  <c r="M603" i="24"/>
  <c r="N603" i="24"/>
  <c r="N562" i="24"/>
  <c r="M562" i="24"/>
  <c r="N547" i="24"/>
  <c r="M547" i="24"/>
  <c r="M533" i="24"/>
  <c r="N533" i="24"/>
  <c r="N542" i="24"/>
  <c r="M542" i="24"/>
  <c r="N223" i="24"/>
  <c r="M223" i="24"/>
  <c r="N162" i="24"/>
  <c r="M162" i="24"/>
  <c r="M42" i="24"/>
  <c r="N42" i="24"/>
  <c r="N827" i="24"/>
  <c r="M827" i="24"/>
  <c r="M832" i="24"/>
  <c r="N832" i="24"/>
  <c r="N919" i="24"/>
  <c r="M919" i="24"/>
  <c r="M679" i="24"/>
  <c r="N679" i="24"/>
  <c r="N454" i="24"/>
  <c r="M454" i="24"/>
  <c r="N444" i="24"/>
  <c r="M444" i="24"/>
  <c r="N433" i="24"/>
  <c r="M433" i="24"/>
  <c r="M428" i="24"/>
  <c r="N428" i="24"/>
  <c r="N412" i="24"/>
  <c r="M412" i="24"/>
  <c r="M407" i="24"/>
  <c r="N407" i="24"/>
  <c r="M456" i="24"/>
  <c r="N456" i="24"/>
  <c r="N811" i="24"/>
  <c r="M811" i="24"/>
  <c r="M907" i="24"/>
  <c r="N907" i="24"/>
  <c r="M607" i="24"/>
  <c r="N607" i="24"/>
  <c r="M48" i="24"/>
  <c r="N48" i="24"/>
  <c r="N364" i="24"/>
  <c r="M364" i="24"/>
  <c r="N355" i="24"/>
  <c r="M355" i="24"/>
  <c r="M338" i="24"/>
  <c r="N338" i="24"/>
  <c r="M260" i="24"/>
  <c r="N260" i="24"/>
  <c r="N45" i="24"/>
  <c r="M45" i="24"/>
  <c r="M235" i="24"/>
  <c r="N235" i="24"/>
  <c r="M397" i="24"/>
  <c r="N397" i="24"/>
  <c r="M370" i="24"/>
  <c r="N370" i="24"/>
  <c r="M363" i="24"/>
  <c r="N363" i="24"/>
  <c r="N356" i="24"/>
  <c r="M356" i="24"/>
  <c r="N336" i="24"/>
  <c r="M336" i="24"/>
  <c r="M453" i="24"/>
  <c r="N453" i="24"/>
  <c r="N326" i="24"/>
  <c r="M326" i="24"/>
  <c r="M46" i="24"/>
  <c r="N46" i="24"/>
  <c r="N962" i="24"/>
  <c r="M962" i="24"/>
  <c r="N965" i="24"/>
  <c r="M965" i="24"/>
  <c r="M595" i="24"/>
  <c r="N595" i="24"/>
  <c r="M592" i="24"/>
  <c r="N592" i="24"/>
  <c r="M812" i="24"/>
  <c r="N812" i="24"/>
  <c r="M896" i="24"/>
  <c r="N896" i="24"/>
  <c r="N852" i="24"/>
  <c r="M852" i="24"/>
  <c r="M115" i="24"/>
  <c r="N115" i="24"/>
  <c r="M909" i="24"/>
  <c r="N909" i="24"/>
  <c r="M328" i="24"/>
  <c r="N328" i="24"/>
  <c r="N535" i="24"/>
  <c r="M535" i="24"/>
  <c r="N531" i="24"/>
  <c r="M531" i="24"/>
  <c r="N578" i="24"/>
  <c r="M578" i="24"/>
  <c r="M455" i="24"/>
  <c r="N455" i="24"/>
  <c r="N917" i="24"/>
  <c r="M917" i="24"/>
  <c r="M908" i="24"/>
  <c r="N908" i="24"/>
  <c r="N905" i="24"/>
  <c r="M905" i="24"/>
  <c r="M676" i="24"/>
  <c r="N676" i="24"/>
  <c r="M767" i="24"/>
  <c r="N767" i="24"/>
  <c r="M748" i="24"/>
  <c r="N748" i="24"/>
  <c r="M887" i="24"/>
  <c r="N887" i="24"/>
  <c r="N945" i="24"/>
  <c r="M945" i="24"/>
  <c r="M799" i="24"/>
  <c r="N799" i="24"/>
  <c r="M408" i="24"/>
  <c r="N408" i="24"/>
  <c r="M345" i="24"/>
  <c r="N345" i="24"/>
  <c r="M736" i="24"/>
  <c r="N736" i="24"/>
  <c r="M728" i="24"/>
  <c r="N728" i="24"/>
  <c r="N597" i="24"/>
  <c r="M597" i="24"/>
  <c r="M590" i="24"/>
  <c r="N590" i="24"/>
  <c r="M509" i="24"/>
  <c r="N509" i="24"/>
  <c r="N481" i="24"/>
  <c r="M481" i="24"/>
  <c r="N478" i="24"/>
  <c r="M478" i="24"/>
  <c r="M471" i="24"/>
  <c r="N471" i="24"/>
  <c r="N491" i="24"/>
  <c r="M491" i="24"/>
  <c r="M480" i="24"/>
  <c r="N480" i="24"/>
  <c r="N616" i="24"/>
  <c r="M616" i="24"/>
  <c r="N485" i="24"/>
  <c r="M485" i="24"/>
  <c r="M483" i="24"/>
  <c r="N483" i="24"/>
  <c r="M106" i="24"/>
  <c r="N106" i="24"/>
  <c r="N52" i="24"/>
  <c r="M52" i="24"/>
  <c r="M579" i="24"/>
  <c r="N579" i="24"/>
  <c r="M334" i="24"/>
  <c r="N334" i="24"/>
  <c r="M583" i="24"/>
  <c r="N583" i="24"/>
  <c r="N470" i="24"/>
  <c r="M470" i="24"/>
  <c r="N498" i="24"/>
  <c r="M498" i="24"/>
  <c r="M600" i="24"/>
  <c r="N600" i="24"/>
  <c r="N510" i="24"/>
  <c r="M510" i="24"/>
  <c r="M505" i="24"/>
  <c r="N505" i="24"/>
  <c r="N972" i="24"/>
  <c r="M972" i="24"/>
  <c r="M940" i="24"/>
  <c r="N940" i="24"/>
  <c r="M474" i="24"/>
  <c r="N474" i="24"/>
  <c r="M231" i="24"/>
  <c r="N231" i="24"/>
  <c r="N605" i="24"/>
  <c r="M605" i="24"/>
  <c r="M584" i="24"/>
  <c r="N584" i="24"/>
  <c r="N230" i="24"/>
  <c r="M230" i="24"/>
  <c r="N698" i="24"/>
  <c r="M698" i="24"/>
  <c r="M612" i="24"/>
  <c r="N612" i="24"/>
  <c r="M606" i="24"/>
  <c r="N606" i="24"/>
  <c r="M867" i="24"/>
  <c r="N867" i="24"/>
  <c r="N916" i="24"/>
  <c r="M916" i="24"/>
  <c r="N910" i="24"/>
  <c r="M910" i="24"/>
  <c r="M685" i="24"/>
  <c r="N685" i="24"/>
  <c r="N237" i="24"/>
  <c r="M237" i="24"/>
  <c r="M608" i="24"/>
  <c r="N608" i="24"/>
  <c r="M594" i="24"/>
  <c r="N594" i="24"/>
  <c r="N697" i="24"/>
  <c r="M697" i="24"/>
  <c r="M609" i="24"/>
  <c r="N609" i="24"/>
  <c r="N601" i="24"/>
  <c r="M601" i="24"/>
  <c r="M588" i="24"/>
  <c r="N588" i="24"/>
  <c r="N586" i="24"/>
  <c r="M586" i="24"/>
  <c r="N499" i="24"/>
  <c r="M499" i="24"/>
  <c r="N496" i="24"/>
  <c r="M496" i="24"/>
  <c r="N493" i="24"/>
  <c r="M493" i="24"/>
  <c r="N490" i="24"/>
  <c r="M490" i="24"/>
  <c r="M486" i="24"/>
  <c r="N486" i="24"/>
  <c r="M473" i="24"/>
  <c r="N473" i="24"/>
  <c r="M822" i="24"/>
  <c r="N822" i="24"/>
  <c r="M703" i="24"/>
  <c r="N703" i="24"/>
  <c r="M807" i="24"/>
  <c r="N807" i="24"/>
  <c r="M813" i="24"/>
  <c r="N813" i="24"/>
  <c r="N925" i="24"/>
  <c r="M925" i="24"/>
  <c r="M920" i="24"/>
  <c r="N920" i="24"/>
  <c r="M823" i="24"/>
  <c r="N823" i="24"/>
  <c r="N918" i="24"/>
  <c r="M918" i="24"/>
  <c r="M900" i="24"/>
  <c r="N900" i="24"/>
  <c r="N891" i="24"/>
  <c r="M891" i="24"/>
  <c r="N803" i="24"/>
  <c r="M803" i="24"/>
  <c r="N379" i="24"/>
  <c r="M379" i="24"/>
  <c r="N222" i="24"/>
  <c r="M222" i="24"/>
  <c r="N152" i="24"/>
  <c r="M152" i="24"/>
  <c r="M44" i="24"/>
  <c r="N44" i="24"/>
  <c r="M41" i="24"/>
  <c r="N41" i="24"/>
  <c r="M27" i="24"/>
  <c r="N27" i="24"/>
  <c r="N942" i="24"/>
  <c r="M942" i="24"/>
  <c r="N969" i="24"/>
  <c r="M969" i="24"/>
  <c r="N815" i="24"/>
  <c r="M815" i="24"/>
  <c r="M834" i="24"/>
  <c r="N834" i="24"/>
  <c r="M234" i="24"/>
  <c r="N234" i="24"/>
  <c r="M323" i="24"/>
  <c r="N323" i="24"/>
  <c r="N465" i="24"/>
  <c r="M465" i="24"/>
  <c r="M367" i="24"/>
  <c r="N367" i="24"/>
  <c r="M340" i="24"/>
  <c r="N340" i="24"/>
  <c r="M890" i="24"/>
  <c r="N890" i="24"/>
  <c r="N963" i="24"/>
  <c r="M963" i="24"/>
  <c r="M938" i="24"/>
  <c r="N938" i="24"/>
  <c r="N814" i="24"/>
  <c r="M814" i="24"/>
  <c r="N796" i="24"/>
  <c r="M796" i="24"/>
  <c r="N76" i="24"/>
  <c r="M76" i="24"/>
  <c r="M591" i="24"/>
  <c r="N591" i="24"/>
  <c r="M587" i="24"/>
  <c r="N587" i="24"/>
  <c r="N673" i="24"/>
  <c r="M673" i="24"/>
  <c r="N58" i="24"/>
  <c r="M58" i="24"/>
  <c r="N611" i="24"/>
  <c r="M611" i="24"/>
  <c r="M795" i="24"/>
  <c r="N795" i="24"/>
  <c r="N163" i="24"/>
  <c r="M163" i="24"/>
  <c r="M596" i="24"/>
  <c r="N596" i="24"/>
  <c r="N589" i="24"/>
  <c r="M589" i="24"/>
  <c r="M417" i="24"/>
  <c r="N417" i="24"/>
  <c r="M406" i="24"/>
  <c r="N406" i="24"/>
  <c r="N401" i="24"/>
  <c r="M401" i="24"/>
  <c r="N396" i="24"/>
  <c r="M396" i="24"/>
  <c r="N361" i="24"/>
  <c r="M361" i="24"/>
  <c r="M40" i="24"/>
  <c r="N40" i="24"/>
  <c r="M24" i="24"/>
  <c r="N24" i="24"/>
  <c r="M339" i="24"/>
  <c r="N339" i="24"/>
  <c r="N950" i="24"/>
  <c r="M950" i="24"/>
  <c r="M690" i="24"/>
  <c r="N690" i="24"/>
  <c r="N677" i="24"/>
  <c r="M677" i="24"/>
  <c r="N952" i="24"/>
  <c r="M952" i="24"/>
  <c r="M937" i="24"/>
  <c r="N937" i="24"/>
  <c r="M399" i="24"/>
  <c r="N399" i="24"/>
  <c r="M711" i="24"/>
  <c r="N711" i="24"/>
  <c r="M939" i="24"/>
  <c r="N939" i="24"/>
  <c r="M358" i="24"/>
  <c r="N358" i="24"/>
  <c r="M725" i="24"/>
  <c r="N725" i="24"/>
  <c r="M675" i="24"/>
  <c r="N675" i="24"/>
  <c r="M552" i="24"/>
  <c r="N552" i="24"/>
  <c r="N487" i="24"/>
  <c r="M487" i="24"/>
  <c r="N484" i="24"/>
  <c r="M484" i="24"/>
  <c r="N482" i="24"/>
  <c r="M482" i="24"/>
  <c r="M476" i="24"/>
  <c r="N476" i="24"/>
  <c r="N416" i="24"/>
  <c r="M416" i="24"/>
  <c r="M405" i="24"/>
  <c r="N405" i="24"/>
  <c r="N393" i="24"/>
  <c r="M393" i="24"/>
  <c r="N377" i="24"/>
  <c r="M377" i="24"/>
  <c r="N574" i="24"/>
  <c r="M574" i="24"/>
  <c r="N540" i="24"/>
  <c r="M540" i="24"/>
  <c r="N523" i="24"/>
  <c r="M523" i="24"/>
  <c r="M511" i="24"/>
  <c r="N511" i="24"/>
  <c r="N497" i="24"/>
  <c r="M497" i="24"/>
  <c r="M415" i="24"/>
  <c r="N415" i="24"/>
  <c r="M411" i="24"/>
  <c r="N411" i="24"/>
  <c r="N392" i="24"/>
  <c r="M392" i="24"/>
  <c r="N382" i="24"/>
  <c r="M382" i="24"/>
  <c r="M353" i="24"/>
  <c r="N353" i="24"/>
  <c r="N400" i="24"/>
  <c r="M400" i="24"/>
  <c r="M21" i="24"/>
  <c r="N21" i="24"/>
  <c r="M18" i="24"/>
  <c r="N18" i="24"/>
  <c r="M17" i="24"/>
  <c r="N17" i="24"/>
  <c r="M13" i="24"/>
  <c r="N13" i="24"/>
  <c r="N9" i="24"/>
  <c r="M9" i="24"/>
  <c r="M4" i="24"/>
  <c r="N4" i="24"/>
  <c r="N903" i="24"/>
  <c r="M903" i="24"/>
  <c r="N882" i="24"/>
  <c r="M882" i="24"/>
  <c r="N805" i="24"/>
  <c r="M805" i="24"/>
  <c r="N797" i="24"/>
  <c r="M797" i="24"/>
  <c r="N740" i="24"/>
  <c r="M740" i="24"/>
  <c r="N738" i="24"/>
  <c r="M738" i="24"/>
  <c r="M724" i="24"/>
  <c r="N724" i="24"/>
  <c r="N688" i="24"/>
  <c r="M688" i="24"/>
  <c r="N671" i="24"/>
  <c r="M671" i="24"/>
  <c r="M668" i="24"/>
  <c r="N668" i="24"/>
  <c r="N346" i="24"/>
  <c r="M346" i="24"/>
  <c r="M936" i="24"/>
  <c r="N936" i="24"/>
  <c r="N806" i="24"/>
  <c r="M806" i="24"/>
  <c r="M734" i="24"/>
  <c r="N734" i="24"/>
  <c r="N721" i="24"/>
  <c r="M721" i="24"/>
  <c r="N716" i="24"/>
  <c r="M716" i="24"/>
  <c r="M403" i="24"/>
  <c r="N403" i="24"/>
  <c r="M359" i="24"/>
  <c r="N359" i="24"/>
  <c r="N695" i="24"/>
  <c r="M695" i="24"/>
  <c r="N737" i="24"/>
  <c r="M737" i="24"/>
  <c r="M678" i="24"/>
  <c r="N678" i="24"/>
  <c r="M692" i="24"/>
  <c r="N692" i="24"/>
  <c r="M930" i="24"/>
  <c r="N930" i="24"/>
  <c r="M785" i="24"/>
  <c r="N785" i="24"/>
  <c r="N148" i="24"/>
  <c r="M148" i="24"/>
  <c r="M267" i="24"/>
  <c r="N267" i="24"/>
  <c r="N325" i="24"/>
  <c r="M325" i="24"/>
  <c r="N324" i="24"/>
  <c r="M324" i="24"/>
  <c r="M322" i="24"/>
  <c r="N322" i="24"/>
  <c r="M282" i="24"/>
  <c r="N282" i="24"/>
  <c r="M79" i="24"/>
  <c r="N79" i="24"/>
  <c r="M34" i="24"/>
  <c r="N34" i="24"/>
  <c r="N26" i="24"/>
  <c r="M26" i="24"/>
  <c r="M12" i="24"/>
  <c r="N12" i="24"/>
  <c r="M344" i="24"/>
  <c r="N344" i="24"/>
  <c r="N857" i="24"/>
  <c r="M857" i="24"/>
  <c r="M968" i="24"/>
  <c r="N968" i="24"/>
  <c r="N862" i="24"/>
  <c r="M862" i="24"/>
  <c r="N858" i="24"/>
  <c r="M858" i="24"/>
  <c r="N855" i="24"/>
  <c r="M855" i="24"/>
  <c r="N839" i="24"/>
  <c r="M839" i="24"/>
  <c r="N836" i="24"/>
  <c r="M836" i="24"/>
  <c r="N824" i="24"/>
  <c r="M824" i="24"/>
  <c r="M667" i="24"/>
  <c r="N667" i="24"/>
  <c r="N418" i="24"/>
  <c r="M418" i="24"/>
  <c r="N410" i="24"/>
  <c r="M410" i="24"/>
  <c r="M395" i="24"/>
  <c r="N395" i="24"/>
  <c r="M388" i="24"/>
  <c r="N388" i="24"/>
  <c r="N385" i="24"/>
  <c r="M385" i="24"/>
  <c r="N378" i="24"/>
  <c r="M378" i="24"/>
  <c r="N368" i="24"/>
  <c r="M368" i="24"/>
  <c r="N365" i="24"/>
  <c r="M365" i="24"/>
  <c r="N352" i="24"/>
  <c r="M352" i="24"/>
  <c r="N349" i="24"/>
  <c r="M349" i="24"/>
  <c r="M966" i="24"/>
  <c r="N966" i="24"/>
  <c r="N897" i="24"/>
  <c r="M897" i="24"/>
  <c r="N932" i="24"/>
  <c r="M932" i="24"/>
  <c r="M842" i="24"/>
  <c r="N842" i="24"/>
  <c r="M830" i="24"/>
  <c r="N830" i="24"/>
  <c r="N883" i="24"/>
  <c r="M883" i="24"/>
  <c r="N659" i="24"/>
  <c r="M659" i="24"/>
  <c r="N463" i="24"/>
  <c r="M463" i="24"/>
  <c r="N846" i="24"/>
  <c r="M846" i="24"/>
  <c r="M913" i="24"/>
  <c r="N913" i="24"/>
  <c r="N912" i="24"/>
  <c r="M912" i="24"/>
  <c r="N845" i="24"/>
  <c r="M845" i="24"/>
  <c r="M219" i="24"/>
  <c r="N219" i="24"/>
  <c r="M218" i="24"/>
  <c r="N218" i="24"/>
  <c r="M213" i="24"/>
  <c r="N213" i="24"/>
  <c r="N211" i="24"/>
  <c r="M211" i="24"/>
  <c r="M210" i="24"/>
  <c r="N210" i="24"/>
  <c r="M209" i="24"/>
  <c r="N209" i="24"/>
  <c r="M204" i="24"/>
  <c r="N204" i="24"/>
  <c r="N203" i="24"/>
  <c r="M203" i="24"/>
  <c r="M201" i="24"/>
  <c r="N201" i="24"/>
  <c r="N467" i="24"/>
  <c r="M467" i="24"/>
  <c r="M466" i="24"/>
  <c r="N466" i="24"/>
  <c r="N154" i="24"/>
  <c r="M154" i="24"/>
  <c r="M901" i="24"/>
  <c r="N901" i="24"/>
  <c r="N915" i="24"/>
  <c r="M915" i="24"/>
  <c r="N899" i="24"/>
  <c r="M899" i="24"/>
  <c r="M941" i="24"/>
  <c r="N941" i="24"/>
  <c r="M870" i="24"/>
  <c r="N870" i="24"/>
  <c r="M967" i="24"/>
  <c r="N967" i="24"/>
  <c r="M804" i="24"/>
  <c r="N804" i="24"/>
  <c r="N853" i="24"/>
  <c r="M853" i="24"/>
  <c r="M935" i="24"/>
  <c r="N935" i="24"/>
  <c r="M825" i="24"/>
  <c r="N825" i="24"/>
  <c r="N808" i="24"/>
  <c r="M808" i="24"/>
  <c r="M800" i="24"/>
  <c r="N800" i="24"/>
  <c r="M794" i="24"/>
  <c r="N794" i="24"/>
  <c r="N580" i="24"/>
  <c r="M580" i="24"/>
  <c r="N426" i="24"/>
  <c r="M426" i="24"/>
  <c r="M422" i="24"/>
  <c r="N422" i="24"/>
  <c r="N387" i="24"/>
  <c r="M387" i="24"/>
  <c r="N350" i="24"/>
  <c r="M350" i="24"/>
  <c r="N898" i="24"/>
  <c r="M898" i="24"/>
  <c r="N874" i="24"/>
  <c r="M874" i="24"/>
  <c r="M943" i="24"/>
  <c r="N943" i="24"/>
  <c r="N838" i="24"/>
  <c r="M838" i="24"/>
  <c r="N933" i="24"/>
  <c r="M933" i="24"/>
  <c r="N876" i="24"/>
  <c r="M876" i="24"/>
  <c r="N964" i="24"/>
  <c r="M964" i="24"/>
  <c r="M860" i="24"/>
  <c r="N860" i="24"/>
  <c r="M961" i="24"/>
  <c r="N961" i="24"/>
  <c r="N949" i="24"/>
  <c r="M949" i="24"/>
  <c r="N948" i="24"/>
  <c r="M948" i="24"/>
  <c r="N947" i="24"/>
  <c r="M947" i="24"/>
  <c r="N946" i="24"/>
  <c r="M946" i="24"/>
  <c r="M828" i="24"/>
  <c r="N828" i="24"/>
  <c r="M902" i="24"/>
  <c r="N902" i="24"/>
  <c r="N934" i="24"/>
  <c r="M934" i="24"/>
  <c r="M809" i="24"/>
  <c r="N809" i="24"/>
  <c r="M801" i="24"/>
  <c r="N801" i="24"/>
  <c r="N598" i="24"/>
  <c r="M598" i="24"/>
  <c r="N347" i="24"/>
  <c r="M347" i="24"/>
  <c r="N787" i="24"/>
  <c r="M787" i="24"/>
  <c r="M944" i="24"/>
  <c r="N944" i="24"/>
  <c r="M885" i="24"/>
  <c r="N885" i="24"/>
  <c r="M849" i="24"/>
  <c r="N849" i="24"/>
  <c r="M895" i="24"/>
  <c r="N895" i="24"/>
  <c r="M911" i="24"/>
  <c r="N911" i="24"/>
  <c r="N762" i="24"/>
  <c r="M762" i="24"/>
  <c r="N754" i="24"/>
  <c r="M754" i="24"/>
  <c r="N957" i="24"/>
  <c r="M957" i="24"/>
  <c r="N816" i="24"/>
  <c r="M816" i="24"/>
  <c r="N757" i="24"/>
  <c r="M757" i="24"/>
  <c r="N756" i="24"/>
  <c r="M756" i="24"/>
  <c r="N780" i="24"/>
  <c r="M780" i="24"/>
  <c r="N739" i="24"/>
  <c r="M739" i="24"/>
  <c r="M717" i="24"/>
  <c r="N717" i="24"/>
  <c r="M704" i="24"/>
  <c r="N704" i="24"/>
  <c r="M663" i="24"/>
  <c r="N663" i="24"/>
  <c r="N321" i="24"/>
  <c r="M321" i="24"/>
  <c r="M320" i="24"/>
  <c r="N320" i="24"/>
  <c r="N319" i="24"/>
  <c r="M319" i="24"/>
  <c r="N318" i="24"/>
  <c r="M318" i="24"/>
  <c r="M317" i="24"/>
  <c r="N317" i="24"/>
  <c r="M240" i="24"/>
  <c r="N240" i="24"/>
  <c r="M239" i="24"/>
  <c r="N239" i="24"/>
  <c r="N116" i="24"/>
  <c r="M116" i="24"/>
  <c r="N114" i="24"/>
  <c r="M114" i="24"/>
  <c r="N113" i="24"/>
  <c r="M113" i="24"/>
  <c r="N112" i="24"/>
  <c r="M112" i="24"/>
  <c r="M108" i="24"/>
  <c r="N108" i="24"/>
  <c r="N107" i="24"/>
  <c r="M107" i="24"/>
  <c r="N105" i="24"/>
  <c r="M105" i="24"/>
  <c r="N103" i="24"/>
  <c r="M103" i="24"/>
  <c r="M102" i="24"/>
  <c r="N102" i="24"/>
  <c r="M101" i="24"/>
  <c r="N101" i="24"/>
  <c r="M100" i="24"/>
  <c r="N100" i="24"/>
  <c r="N93" i="24"/>
  <c r="M93" i="24"/>
  <c r="N90" i="24"/>
  <c r="M90" i="24"/>
  <c r="N89" i="24"/>
  <c r="M89" i="24"/>
  <c r="N87" i="24"/>
  <c r="M87" i="24"/>
  <c r="N86" i="24"/>
  <c r="M86" i="24"/>
  <c r="N83" i="24"/>
  <c r="M83" i="24"/>
  <c r="N582" i="24"/>
  <c r="M582" i="24"/>
  <c r="N327" i="24"/>
  <c r="M327" i="24"/>
  <c r="M784" i="24"/>
  <c r="N784" i="24"/>
  <c r="N951" i="24"/>
  <c r="M951" i="24"/>
  <c r="M956" i="24"/>
  <c r="N956" i="24"/>
  <c r="M829" i="24"/>
  <c r="N829" i="24"/>
  <c r="N955" i="24"/>
  <c r="M955" i="24"/>
  <c r="M893" i="24"/>
  <c r="N893" i="24"/>
  <c r="N931" i="24"/>
  <c r="M931" i="24"/>
  <c r="M929" i="24"/>
  <c r="N929" i="24"/>
  <c r="M928" i="24"/>
  <c r="N928" i="24"/>
  <c r="N906" i="24"/>
  <c r="M906" i="24"/>
  <c r="N894" i="24"/>
  <c r="M894" i="24"/>
  <c r="M877" i="24"/>
  <c r="N877" i="24"/>
  <c r="N921" i="24"/>
  <c r="M921" i="24"/>
  <c r="M863" i="24"/>
  <c r="N863" i="24"/>
  <c r="M132" i="24"/>
  <c r="N132" i="24"/>
  <c r="M131" i="24"/>
  <c r="N131" i="24"/>
  <c r="M130" i="24"/>
  <c r="N130" i="24"/>
  <c r="N125" i="24"/>
  <c r="M125" i="24"/>
  <c r="M118" i="24"/>
  <c r="N118" i="24"/>
  <c r="M117" i="24"/>
  <c r="N117" i="24"/>
  <c r="M375" i="24"/>
  <c r="N375" i="24"/>
  <c r="M374" i="24"/>
  <c r="N374" i="24"/>
  <c r="M831" i="24"/>
  <c r="N831" i="24"/>
  <c r="N922" i="24"/>
  <c r="M922" i="24"/>
  <c r="N818" i="24"/>
  <c r="M818" i="24"/>
  <c r="N817" i="24"/>
  <c r="M817" i="24"/>
  <c r="M802" i="24"/>
  <c r="N802" i="24"/>
  <c r="M790" i="24"/>
  <c r="N790" i="24"/>
  <c r="N970" i="24"/>
  <c r="M970" i="24"/>
  <c r="M781" i="24"/>
  <c r="N781" i="24"/>
  <c r="M766" i="24"/>
  <c r="N766" i="24"/>
  <c r="N959" i="24"/>
  <c r="M959" i="24"/>
  <c r="M875" i="24"/>
  <c r="N875" i="24"/>
  <c r="N841" i="24"/>
  <c r="M841" i="24"/>
  <c r="M840" i="24"/>
  <c r="N840" i="24"/>
  <c r="N837" i="24"/>
  <c r="M837" i="24"/>
  <c r="N835" i="24"/>
  <c r="M835" i="24"/>
  <c r="N833" i="24"/>
  <c r="M833" i="24"/>
  <c r="M826" i="24"/>
  <c r="N826" i="24"/>
  <c r="M868" i="24"/>
  <c r="N868" i="24"/>
  <c r="M851" i="24"/>
  <c r="N851" i="24"/>
  <c r="N850" i="24"/>
  <c r="M850" i="24"/>
  <c r="N847" i="24"/>
  <c r="M847" i="24"/>
  <c r="N844" i="24"/>
  <c r="M844" i="24"/>
  <c r="M310" i="24"/>
  <c r="N310" i="24"/>
  <c r="M305" i="24"/>
  <c r="N305" i="24"/>
  <c r="M301" i="24"/>
  <c r="N301" i="24"/>
  <c r="M300" i="24"/>
  <c r="N300" i="24"/>
  <c r="M294" i="24"/>
  <c r="N294" i="24"/>
  <c r="M293" i="24"/>
  <c r="N293" i="24"/>
  <c r="M292" i="24"/>
  <c r="N292" i="24"/>
  <c r="M291" i="24"/>
  <c r="N291" i="24"/>
  <c r="M289" i="24"/>
  <c r="N289" i="24"/>
  <c r="M287" i="24"/>
  <c r="N287" i="24"/>
  <c r="N284" i="24"/>
  <c r="M284" i="24"/>
  <c r="N283" i="24"/>
  <c r="M283" i="24"/>
  <c r="N279" i="24"/>
  <c r="M279" i="24"/>
  <c r="M278" i="24"/>
  <c r="N278" i="24"/>
  <c r="M277" i="24"/>
  <c r="N277" i="24"/>
  <c r="M276" i="24"/>
  <c r="N276" i="24"/>
  <c r="N275" i="24"/>
  <c r="M275" i="24"/>
  <c r="M274" i="24"/>
  <c r="N274" i="24"/>
  <c r="M264" i="24"/>
  <c r="N264" i="24"/>
  <c r="N263" i="24"/>
  <c r="M263" i="24"/>
  <c r="N262" i="24"/>
  <c r="M262" i="24"/>
  <c r="N261" i="24"/>
  <c r="M261" i="24"/>
  <c r="N258" i="24"/>
  <c r="M258" i="24"/>
  <c r="N257" i="24"/>
  <c r="M257" i="24"/>
  <c r="N256" i="24"/>
  <c r="M256" i="24"/>
  <c r="M255" i="24"/>
  <c r="N255" i="24"/>
  <c r="M254" i="24"/>
  <c r="N254" i="24"/>
  <c r="M251" i="24"/>
  <c r="N251" i="24"/>
  <c r="N250" i="24"/>
  <c r="M250" i="24"/>
  <c r="M249" i="24"/>
  <c r="N249" i="24"/>
  <c r="M248" i="24"/>
  <c r="N248" i="24"/>
  <c r="N247" i="24"/>
  <c r="M247" i="24"/>
  <c r="M245" i="24"/>
  <c r="N245" i="24"/>
  <c r="M621" i="24"/>
  <c r="N621" i="24"/>
  <c r="M570" i="24"/>
  <c r="N570" i="24"/>
  <c r="M566" i="24"/>
  <c r="N566" i="24"/>
  <c r="M75" i="24"/>
  <c r="N75" i="24"/>
  <c r="M74" i="24"/>
  <c r="N74" i="24"/>
  <c r="M73" i="24"/>
  <c r="N73" i="24"/>
  <c r="M72" i="24"/>
  <c r="N72" i="24"/>
  <c r="M71" i="24"/>
  <c r="N71" i="24"/>
  <c r="M70" i="24"/>
  <c r="N70" i="24"/>
  <c r="N65" i="24"/>
  <c r="M65" i="24"/>
  <c r="N64" i="24"/>
  <c r="M64" i="24"/>
  <c r="M63" i="24"/>
  <c r="N63" i="24"/>
  <c r="N62" i="24"/>
  <c r="M62" i="24"/>
  <c r="M61" i="24"/>
  <c r="N61" i="24"/>
  <c r="N59" i="24"/>
  <c r="M59" i="24"/>
  <c r="M57" i="24"/>
  <c r="N57" i="24"/>
  <c r="N56" i="24"/>
  <c r="M56" i="24"/>
  <c r="N55" i="24"/>
  <c r="M55" i="24"/>
  <c r="N54" i="24"/>
  <c r="M54" i="24"/>
  <c r="M51" i="24"/>
  <c r="N51" i="24"/>
  <c r="N50" i="24"/>
  <c r="M50" i="24"/>
  <c r="M536" i="24"/>
  <c r="N536" i="24"/>
  <c r="N194" i="24"/>
  <c r="M194" i="24"/>
  <c r="M193" i="24"/>
  <c r="N193" i="24"/>
  <c r="N192" i="24"/>
  <c r="M192" i="24"/>
  <c r="N191" i="24"/>
  <c r="M191" i="24"/>
  <c r="M187" i="24"/>
  <c r="N187" i="24"/>
  <c r="M186" i="24"/>
  <c r="N186" i="24"/>
  <c r="M185" i="24"/>
  <c r="N185" i="24"/>
  <c r="M184" i="24"/>
  <c r="N184" i="24"/>
  <c r="M183" i="24"/>
  <c r="N183" i="24"/>
  <c r="N182" i="24"/>
  <c r="M182" i="24"/>
  <c r="M181" i="24"/>
  <c r="N181" i="24"/>
  <c r="N179" i="24"/>
  <c r="M179" i="24"/>
  <c r="N178" i="24"/>
  <c r="M178" i="24"/>
  <c r="M177" i="24"/>
  <c r="N177" i="24"/>
  <c r="N176" i="24"/>
  <c r="M176" i="24"/>
  <c r="M175" i="24"/>
  <c r="N175" i="24"/>
  <c r="M171" i="24"/>
  <c r="N171" i="24"/>
  <c r="N170" i="24"/>
  <c r="M170" i="24"/>
  <c r="M169" i="24"/>
  <c r="N169" i="24"/>
  <c r="M168" i="24"/>
  <c r="N168" i="24"/>
  <c r="M167" i="24"/>
  <c r="N167" i="24"/>
  <c r="M166" i="24"/>
  <c r="N166" i="24"/>
  <c r="N165" i="24"/>
  <c r="M165" i="24"/>
  <c r="N164" i="24"/>
  <c r="M164" i="24"/>
  <c r="N158" i="24"/>
  <c r="M158" i="24"/>
  <c r="M157" i="24"/>
  <c r="N157" i="24"/>
  <c r="N156" i="24"/>
  <c r="M156" i="24"/>
  <c r="N155" i="24"/>
  <c r="M155" i="24"/>
  <c r="N151" i="24"/>
  <c r="M151" i="24"/>
  <c r="N150" i="24"/>
  <c r="M150" i="24"/>
  <c r="N149" i="24"/>
  <c r="M149" i="24"/>
  <c r="N144" i="24"/>
  <c r="M144" i="24"/>
  <c r="N142" i="24"/>
  <c r="M142" i="24"/>
  <c r="N141" i="24"/>
  <c r="M141" i="24"/>
  <c r="M140" i="24"/>
  <c r="N140" i="24"/>
  <c r="N139" i="24"/>
  <c r="M139" i="24"/>
  <c r="N137" i="24"/>
  <c r="M137" i="24"/>
  <c r="N136" i="24"/>
  <c r="M136" i="24"/>
  <c r="M135" i="24"/>
  <c r="N135" i="24"/>
  <c r="M134" i="24"/>
  <c r="N134" i="24"/>
  <c r="M16" i="24"/>
  <c r="N16" i="24"/>
  <c r="N892" i="24"/>
  <c r="M892" i="24"/>
  <c r="N926" i="24"/>
  <c r="M926" i="24"/>
  <c r="M924" i="24"/>
  <c r="N924" i="24"/>
  <c r="M810" i="24"/>
  <c r="N810" i="24"/>
  <c r="N779" i="24"/>
  <c r="M779" i="24"/>
  <c r="N904" i="24"/>
  <c r="M904" i="24"/>
  <c r="M880" i="24"/>
  <c r="N880" i="24"/>
  <c r="M747" i="24"/>
  <c r="N747" i="24"/>
  <c r="M889" i="24"/>
  <c r="N889" i="24"/>
  <c r="N881" i="24"/>
  <c r="M881" i="24"/>
  <c r="N820" i="24"/>
  <c r="M820" i="24"/>
  <c r="M884" i="24"/>
  <c r="N884" i="24"/>
  <c r="M914" i="24"/>
  <c r="N914" i="24"/>
  <c r="N843" i="24"/>
  <c r="M843" i="24"/>
  <c r="N687" i="24"/>
  <c r="M687" i="24"/>
  <c r="M879" i="24"/>
  <c r="N879" i="24"/>
  <c r="M750" i="24"/>
  <c r="N750" i="24"/>
  <c r="M720" i="24"/>
  <c r="N720" i="24"/>
  <c r="M872" i="24"/>
  <c r="N872" i="24"/>
  <c r="M871" i="24"/>
  <c r="N871" i="24"/>
  <c r="M869" i="24"/>
  <c r="N869" i="24"/>
  <c r="N865" i="24"/>
  <c r="M865" i="24"/>
  <c r="M864" i="24"/>
  <c r="N864" i="24"/>
  <c r="M861" i="24"/>
  <c r="N861" i="24"/>
  <c r="M859" i="24"/>
  <c r="N859" i="24"/>
  <c r="M856" i="24"/>
  <c r="N856" i="24"/>
  <c r="N854" i="24"/>
  <c r="M854" i="24"/>
  <c r="M848" i="24"/>
  <c r="N848" i="24"/>
  <c r="N821" i="24"/>
  <c r="M821" i="24"/>
  <c r="N793" i="24"/>
  <c r="M793" i="24"/>
  <c r="M198" i="24"/>
  <c r="N198" i="24"/>
  <c r="M197" i="24"/>
  <c r="N197" i="24"/>
  <c r="N196" i="24"/>
  <c r="M196" i="24"/>
  <c r="M195" i="24"/>
  <c r="N195" i="24"/>
  <c r="M190" i="24"/>
  <c r="N190" i="24"/>
  <c r="N189" i="24"/>
  <c r="M189" i="24"/>
  <c r="M174" i="24"/>
  <c r="N174" i="24"/>
  <c r="M173" i="24"/>
  <c r="N173" i="24"/>
  <c r="N172" i="24"/>
  <c r="M172" i="24"/>
  <c r="N160" i="24"/>
  <c r="M160" i="24"/>
  <c r="N159" i="24"/>
  <c r="M159" i="24"/>
  <c r="M153" i="24"/>
  <c r="N153" i="24"/>
  <c r="N147" i="24"/>
  <c r="M147" i="24"/>
  <c r="M146" i="24"/>
  <c r="N146" i="24"/>
  <c r="N145" i="24"/>
  <c r="M145" i="24"/>
  <c r="N143" i="24"/>
  <c r="M143" i="24"/>
  <c r="N138" i="24"/>
  <c r="M138" i="24"/>
  <c r="N494" i="24"/>
  <c r="M494" i="24"/>
  <c r="N316" i="24"/>
  <c r="M316" i="24"/>
  <c r="N315" i="24"/>
  <c r="M315" i="24"/>
  <c r="M314" i="24"/>
  <c r="N314" i="24"/>
  <c r="M313" i="24"/>
  <c r="N313" i="24"/>
  <c r="M312" i="24"/>
  <c r="N312" i="24"/>
  <c r="M311" i="24"/>
  <c r="N311" i="24"/>
  <c r="N309" i="24"/>
  <c r="M309" i="24"/>
  <c r="M308" i="24"/>
  <c r="N308" i="24"/>
  <c r="M307" i="24"/>
  <c r="N307" i="24"/>
  <c r="N306" i="24"/>
  <c r="M306" i="24"/>
  <c r="M304" i="24"/>
  <c r="N304" i="24"/>
  <c r="N303" i="24"/>
  <c r="M303" i="24"/>
  <c r="M302" i="24"/>
  <c r="N302" i="24"/>
  <c r="N299" i="24"/>
  <c r="M299" i="24"/>
  <c r="N298" i="24"/>
  <c r="M298" i="24"/>
  <c r="M297" i="24"/>
  <c r="N297" i="24"/>
  <c r="N296" i="24"/>
  <c r="M296" i="24"/>
  <c r="N295" i="24"/>
  <c r="M295" i="24"/>
  <c r="M290" i="24"/>
  <c r="N290" i="24"/>
  <c r="N288" i="24"/>
  <c r="M288" i="24"/>
  <c r="N286" i="24"/>
  <c r="M286" i="24"/>
  <c r="N285" i="24"/>
  <c r="M285" i="24"/>
  <c r="M281" i="24"/>
  <c r="N281" i="24"/>
  <c r="M273" i="24"/>
  <c r="N273" i="24"/>
  <c r="M272" i="24"/>
  <c r="N272" i="24"/>
  <c r="N271" i="24"/>
  <c r="M271" i="24"/>
  <c r="N270" i="24"/>
  <c r="M270" i="24"/>
  <c r="N269" i="24"/>
  <c r="M269" i="24"/>
  <c r="N268" i="24"/>
  <c r="M268" i="24"/>
  <c r="N266" i="24"/>
  <c r="M266" i="24"/>
  <c r="N265" i="24"/>
  <c r="M265" i="24"/>
  <c r="N253" i="24"/>
  <c r="M253" i="24"/>
  <c r="M252" i="24"/>
  <c r="N252" i="24"/>
  <c r="N246" i="24"/>
  <c r="M246" i="24"/>
  <c r="M244" i="24"/>
  <c r="N244" i="24"/>
  <c r="N243" i="24"/>
  <c r="M243" i="24"/>
  <c r="N242" i="24"/>
  <c r="M242" i="24"/>
  <c r="M217" i="24"/>
  <c r="N217" i="24"/>
  <c r="M215" i="24"/>
  <c r="N215" i="24"/>
  <c r="M214" i="24"/>
  <c r="N214" i="24"/>
  <c r="N212" i="24"/>
  <c r="M212" i="24"/>
  <c r="M208" i="24"/>
  <c r="N208" i="24"/>
  <c r="M207" i="24"/>
  <c r="N207" i="24"/>
  <c r="N206" i="24"/>
  <c r="M206" i="24"/>
  <c r="N205" i="24"/>
  <c r="M205" i="24"/>
  <c r="N202" i="24"/>
  <c r="M202" i="24"/>
  <c r="N199" i="24"/>
  <c r="M199" i="24"/>
  <c r="N133" i="24"/>
  <c r="M133" i="24"/>
  <c r="M129" i="24"/>
  <c r="N129" i="24"/>
  <c r="M128" i="24"/>
  <c r="N128" i="24"/>
  <c r="M127" i="24"/>
  <c r="N127" i="24"/>
  <c r="N124" i="24"/>
  <c r="M124" i="24"/>
  <c r="N123" i="24"/>
  <c r="M123" i="24"/>
  <c r="N122" i="24"/>
  <c r="M122" i="24"/>
  <c r="N121" i="24"/>
  <c r="M121" i="24"/>
  <c r="M120" i="24"/>
  <c r="N120" i="24"/>
  <c r="M111" i="24"/>
  <c r="N111" i="24"/>
  <c r="M110" i="24"/>
  <c r="N110" i="24"/>
  <c r="M99" i="24"/>
  <c r="N99" i="24"/>
  <c r="M98" i="24"/>
  <c r="N98" i="24"/>
  <c r="M97" i="24"/>
  <c r="N97" i="24"/>
  <c r="M96" i="24"/>
  <c r="N96" i="24"/>
  <c r="N95" i="24"/>
  <c r="M95" i="24"/>
  <c r="N94" i="24"/>
  <c r="M94" i="24"/>
  <c r="N92" i="24"/>
  <c r="M92" i="24"/>
  <c r="N88" i="24"/>
  <c r="M88" i="24"/>
  <c r="N85" i="24"/>
  <c r="M85" i="24"/>
  <c r="M82" i="24"/>
  <c r="N82" i="24"/>
  <c r="M81" i="24"/>
  <c r="N81" i="24"/>
  <c r="M80" i="24"/>
  <c r="N80" i="24"/>
  <c r="M78" i="24"/>
  <c r="N78" i="24"/>
  <c r="M77" i="24"/>
  <c r="N77" i="24"/>
  <c r="M69" i="24"/>
  <c r="N69" i="24"/>
  <c r="M68" i="24"/>
  <c r="N68" i="24"/>
  <c r="N67" i="24"/>
  <c r="M67" i="24"/>
  <c r="M66" i="24"/>
  <c r="N66" i="24"/>
  <c r="M53" i="24"/>
  <c r="N53" i="24"/>
  <c r="N49" i="24"/>
  <c r="M49" i="24"/>
  <c r="M886" i="24"/>
  <c r="N886" i="24"/>
  <c r="N755" i="24"/>
  <c r="M755" i="24"/>
  <c r="N706" i="24"/>
  <c r="M706" i="24"/>
  <c r="M971" i="24"/>
  <c r="N971" i="24"/>
  <c r="N878" i="24"/>
  <c r="M878" i="24"/>
  <c r="M866" i="24"/>
  <c r="N866" i="24"/>
  <c r="N2" i="24"/>
  <c r="M2" i="24"/>
  <c r="O819" i="24"/>
  <c r="L819" i="24"/>
  <c r="K819" i="24"/>
  <c r="Q819" i="24"/>
  <c r="P819" i="24"/>
  <c r="O126" i="24"/>
  <c r="L126" i="24"/>
  <c r="K126" i="24"/>
  <c r="P126" i="24"/>
  <c r="Q126" i="24"/>
  <c r="K604" i="24"/>
  <c r="L604" i="24"/>
  <c r="Q604" i="24"/>
  <c r="O604" i="24"/>
  <c r="P604" i="24"/>
  <c r="K441" i="24"/>
  <c r="O441" i="24"/>
  <c r="P441" i="24"/>
  <c r="L441" i="24"/>
  <c r="Q441" i="24"/>
  <c r="L798" i="24"/>
  <c r="K798" i="24"/>
  <c r="O798" i="24"/>
  <c r="Q798" i="24"/>
  <c r="P798" i="24"/>
  <c r="Q670" i="24"/>
  <c r="O670" i="24"/>
  <c r="K670" i="24"/>
  <c r="L670" i="24"/>
  <c r="P670" i="24"/>
  <c r="O669" i="24"/>
  <c r="P669" i="24"/>
  <c r="L669" i="24"/>
  <c r="K669" i="24"/>
  <c r="Q669" i="24"/>
  <c r="Q672" i="24"/>
  <c r="P672" i="24"/>
  <c r="O672" i="24"/>
  <c r="K672" i="24"/>
  <c r="L672" i="24"/>
  <c r="Q680" i="24"/>
  <c r="P680" i="24"/>
  <c r="L680" i="24"/>
  <c r="K680" i="24"/>
  <c r="O680" i="24"/>
  <c r="Q786" i="24"/>
  <c r="P786" i="24"/>
  <c r="O786" i="24"/>
  <c r="L786" i="24"/>
  <c r="K786" i="24"/>
  <c r="Q783" i="24"/>
  <c r="O783" i="24"/>
  <c r="L783" i="24"/>
  <c r="P783" i="24"/>
  <c r="K783" i="24"/>
  <c r="Q746" i="24"/>
  <c r="P746" i="24"/>
  <c r="O746" i="24"/>
  <c r="K746" i="24"/>
  <c r="L746" i="24"/>
  <c r="L788" i="24"/>
  <c r="O788" i="24"/>
  <c r="K788" i="24"/>
  <c r="Q788" i="24"/>
  <c r="P788" i="24"/>
  <c r="L791" i="24"/>
  <c r="P791" i="24"/>
  <c r="Q791" i="24"/>
  <c r="K791" i="24"/>
  <c r="O791" i="24"/>
  <c r="P681" i="24"/>
  <c r="L681" i="24"/>
  <c r="O681" i="24"/>
  <c r="Q681" i="24"/>
  <c r="K681" i="24"/>
  <c r="K792" i="24"/>
  <c r="O792" i="24"/>
  <c r="Q792" i="24"/>
  <c r="P792" i="24"/>
  <c r="L792" i="24"/>
  <c r="L38" i="24"/>
  <c r="P38" i="24"/>
  <c r="K38" i="24"/>
  <c r="Q38" i="24"/>
  <c r="O38" i="24"/>
  <c r="L789" i="24"/>
  <c r="O789" i="24"/>
  <c r="P789" i="24"/>
  <c r="Q789" i="24"/>
  <c r="K789" i="24"/>
  <c r="L674" i="24"/>
  <c r="Q674" i="24"/>
  <c r="P674" i="24"/>
  <c r="O674" i="24"/>
  <c r="K674" i="24"/>
  <c r="P626" i="24"/>
  <c r="K626" i="24"/>
  <c r="O626" i="24"/>
  <c r="Q626" i="24"/>
  <c r="L626" i="24"/>
  <c r="O729" i="24"/>
  <c r="L729" i="24"/>
  <c r="K729" i="24"/>
  <c r="Q729" i="24"/>
  <c r="P729" i="24"/>
  <c r="L715" i="24"/>
  <c r="O715" i="24"/>
  <c r="P715" i="24"/>
  <c r="Q715" i="24"/>
  <c r="K715" i="24"/>
  <c r="L705" i="24"/>
  <c r="K705" i="24"/>
  <c r="P705" i="24"/>
  <c r="Q705" i="24"/>
  <c r="O705" i="24"/>
  <c r="Q696" i="24"/>
  <c r="P696" i="24"/>
  <c r="K696" i="24"/>
  <c r="L696" i="24"/>
  <c r="O696" i="24"/>
  <c r="Q691" i="24"/>
  <c r="O691" i="24"/>
  <c r="P691" i="24"/>
  <c r="L691" i="24"/>
  <c r="K691" i="24"/>
  <c r="L686" i="24"/>
  <c r="K686" i="24"/>
  <c r="P686" i="24"/>
  <c r="Q686" i="24"/>
  <c r="O686" i="24"/>
  <c r="O682" i="24"/>
  <c r="Q682" i="24"/>
  <c r="P682" i="24"/>
  <c r="L682" i="24"/>
  <c r="K682" i="24"/>
  <c r="P662" i="24"/>
  <c r="Q662" i="24"/>
  <c r="L662" i="24"/>
  <c r="K662" i="24"/>
  <c r="O662" i="24"/>
  <c r="K661" i="24"/>
  <c r="L661" i="24"/>
  <c r="O661" i="24"/>
  <c r="P661" i="24"/>
  <c r="Q661" i="24"/>
  <c r="O648" i="24"/>
  <c r="Q648" i="24"/>
  <c r="K648" i="24"/>
  <c r="P648" i="24"/>
  <c r="L648" i="24"/>
  <c r="P647" i="24"/>
  <c r="Q647" i="24"/>
  <c r="O647" i="24"/>
  <c r="L647" i="24"/>
  <c r="K647" i="24"/>
  <c r="K646" i="24"/>
  <c r="Q646" i="24"/>
  <c r="O646" i="24"/>
  <c r="P646" i="24"/>
  <c r="L646" i="24"/>
  <c r="L645" i="24"/>
  <c r="Q645" i="24"/>
  <c r="O645" i="24"/>
  <c r="K645" i="24"/>
  <c r="P645" i="24"/>
  <c r="L642" i="24"/>
  <c r="Q642" i="24"/>
  <c r="K642" i="24"/>
  <c r="O642" i="24"/>
  <c r="P642" i="24"/>
  <c r="Q641" i="24"/>
  <c r="P641" i="24"/>
  <c r="L641" i="24"/>
  <c r="O641" i="24"/>
  <c r="K641" i="24"/>
  <c r="Q640" i="24"/>
  <c r="K640" i="24"/>
  <c r="O640" i="24"/>
  <c r="P640" i="24"/>
  <c r="L640" i="24"/>
  <c r="K635" i="24"/>
  <c r="Q635" i="24"/>
  <c r="P635" i="24"/>
  <c r="L635" i="24"/>
  <c r="O635" i="24"/>
  <c r="L631" i="24"/>
  <c r="P631" i="24"/>
  <c r="O631" i="24"/>
  <c r="K631" i="24"/>
  <c r="Q631" i="24"/>
  <c r="P629" i="24"/>
  <c r="O629" i="24"/>
  <c r="K629" i="24"/>
  <c r="L629" i="24"/>
  <c r="Q629" i="24"/>
  <c r="O628" i="24"/>
  <c r="K628" i="24"/>
  <c r="L628" i="24"/>
  <c r="Q628" i="24"/>
  <c r="P628" i="24"/>
  <c r="Q627" i="24"/>
  <c r="K627" i="24"/>
  <c r="P627" i="24"/>
  <c r="O627" i="24"/>
  <c r="L627" i="24"/>
  <c r="P622" i="24"/>
  <c r="Q622" i="24"/>
  <c r="O622" i="24"/>
  <c r="L622" i="24"/>
  <c r="K622" i="24"/>
  <c r="P259" i="24"/>
  <c r="O259" i="24"/>
  <c r="L259" i="24"/>
  <c r="K259" i="24"/>
  <c r="Q259" i="24"/>
  <c r="P229" i="24"/>
  <c r="L229" i="24"/>
  <c r="O229" i="24"/>
  <c r="Q229" i="24"/>
  <c r="K229" i="24"/>
  <c r="Q84" i="24"/>
  <c r="O84" i="24"/>
  <c r="K84" i="24"/>
  <c r="P84" i="24"/>
  <c r="L84" i="24"/>
  <c r="P614" i="24"/>
  <c r="K614" i="24"/>
  <c r="O614" i="24"/>
  <c r="Q614" i="24"/>
  <c r="L614" i="24"/>
  <c r="O593" i="24"/>
  <c r="P593" i="24"/>
  <c r="Q593" i="24"/>
  <c r="L593" i="24"/>
  <c r="K593" i="24"/>
  <c r="L581" i="24"/>
  <c r="Q581" i="24"/>
  <c r="P581" i="24"/>
  <c r="O581" i="24"/>
  <c r="K581" i="24"/>
  <c r="L576" i="24"/>
  <c r="K576" i="24"/>
  <c r="Q576" i="24"/>
  <c r="P576" i="24"/>
  <c r="O576" i="24"/>
  <c r="O549" i="24"/>
  <c r="L549" i="24"/>
  <c r="K549" i="24"/>
  <c r="P549" i="24"/>
  <c r="Q549" i="24"/>
  <c r="K544" i="24"/>
  <c r="L544" i="24"/>
  <c r="P544" i="24"/>
  <c r="Q544" i="24"/>
  <c r="O544" i="24"/>
  <c r="P538" i="24"/>
  <c r="O538" i="24"/>
  <c r="L538" i="24"/>
  <c r="Q538" i="24"/>
  <c r="K538" i="24"/>
  <c r="L525" i="24"/>
  <c r="Q525" i="24"/>
  <c r="P525" i="24"/>
  <c r="O525" i="24"/>
  <c r="K525" i="24"/>
  <c r="O519" i="24"/>
  <c r="P519" i="24"/>
  <c r="Q519" i="24"/>
  <c r="L519" i="24"/>
  <c r="K519" i="24"/>
  <c r="K518" i="24"/>
  <c r="O518" i="24"/>
  <c r="P518" i="24"/>
  <c r="Q518" i="24"/>
  <c r="L518" i="24"/>
  <c r="Q512" i="24"/>
  <c r="P512" i="24"/>
  <c r="O512" i="24"/>
  <c r="L512" i="24"/>
  <c r="K512" i="24"/>
  <c r="L506" i="24"/>
  <c r="K506" i="24"/>
  <c r="P506" i="24"/>
  <c r="O506" i="24"/>
  <c r="Q506" i="24"/>
  <c r="O501" i="24"/>
  <c r="L501" i="24"/>
  <c r="K501" i="24"/>
  <c r="P501" i="24"/>
  <c r="Q501" i="24"/>
  <c r="L495" i="24"/>
  <c r="Q495" i="24"/>
  <c r="P495" i="24"/>
  <c r="O495" i="24"/>
  <c r="K495" i="24"/>
  <c r="Q468" i="24"/>
  <c r="P468" i="24"/>
  <c r="K468" i="24"/>
  <c r="O468" i="24"/>
  <c r="L468" i="24"/>
  <c r="K464" i="24"/>
  <c r="L464" i="24"/>
  <c r="Q464" i="24"/>
  <c r="O464" i="24"/>
  <c r="P464" i="24"/>
  <c r="L449" i="24"/>
  <c r="Q449" i="24"/>
  <c r="O449" i="24"/>
  <c r="K449" i="24"/>
  <c r="P449" i="24"/>
  <c r="K448" i="24"/>
  <c r="L448" i="24"/>
  <c r="O448" i="24"/>
  <c r="Q448" i="24"/>
  <c r="P448" i="24"/>
  <c r="Q442" i="24"/>
  <c r="O442" i="24"/>
  <c r="L442" i="24"/>
  <c r="K442" i="24"/>
  <c r="P442" i="24"/>
  <c r="L425" i="24"/>
  <c r="Q425" i="24"/>
  <c r="K425" i="24"/>
  <c r="O425" i="24"/>
  <c r="P425" i="24"/>
  <c r="K420" i="24"/>
  <c r="P420" i="24"/>
  <c r="L420" i="24"/>
  <c r="O420" i="24"/>
  <c r="Q420" i="24"/>
  <c r="K419" i="24"/>
  <c r="L419" i="24"/>
  <c r="O419" i="24"/>
  <c r="P419" i="24"/>
  <c r="Q419" i="24"/>
  <c r="K404" i="24"/>
  <c r="Q404" i="24"/>
  <c r="L404" i="24"/>
  <c r="O404" i="24"/>
  <c r="P404" i="24"/>
  <c r="Q398" i="24"/>
  <c r="P398" i="24"/>
  <c r="O398" i="24"/>
  <c r="L398" i="24"/>
  <c r="K398" i="24"/>
  <c r="Q390" i="24"/>
  <c r="O390" i="24"/>
  <c r="P390" i="24"/>
  <c r="K390" i="24"/>
  <c r="L390" i="24"/>
  <c r="P389" i="24"/>
  <c r="K389" i="24"/>
  <c r="O389" i="24"/>
  <c r="L389" i="24"/>
  <c r="Q389" i="24"/>
  <c r="L354" i="24"/>
  <c r="Q354" i="24"/>
  <c r="K354" i="24"/>
  <c r="P354" i="24"/>
  <c r="O354" i="24"/>
  <c r="P348" i="24"/>
  <c r="K348" i="24"/>
  <c r="O348" i="24"/>
  <c r="Q348" i="24"/>
  <c r="L348" i="24"/>
  <c r="L342" i="24"/>
  <c r="P342" i="24"/>
  <c r="Q342" i="24"/>
  <c r="K342" i="24"/>
  <c r="O342" i="24"/>
  <c r="L224" i="24"/>
  <c r="P224" i="24"/>
  <c r="O224" i="24"/>
  <c r="Q224" i="24"/>
  <c r="K224" i="24"/>
  <c r="P188" i="24"/>
  <c r="Q188" i="24"/>
  <c r="K188" i="24"/>
  <c r="O188" i="24"/>
  <c r="L188" i="24"/>
  <c r="Q37" i="24"/>
  <c r="O37" i="24"/>
  <c r="K37" i="24"/>
  <c r="L37" i="24"/>
  <c r="P37" i="24"/>
  <c r="L25" i="24"/>
  <c r="P25" i="24"/>
  <c r="K25" i="24"/>
  <c r="Q25" i="24"/>
  <c r="O25" i="24"/>
  <c r="O15" i="24"/>
  <c r="L15" i="24"/>
  <c r="K15" i="24"/>
  <c r="P15" i="24"/>
  <c r="Q15" i="24"/>
  <c r="K14" i="24"/>
  <c r="L14" i="24"/>
  <c r="Q14" i="24"/>
  <c r="P14" i="24"/>
  <c r="O14" i="24"/>
  <c r="Q11" i="24"/>
  <c r="K11" i="24"/>
  <c r="P11" i="24"/>
  <c r="O11" i="24"/>
  <c r="L11" i="24"/>
  <c r="Q10" i="24"/>
  <c r="O10" i="24"/>
  <c r="P10" i="24"/>
  <c r="K10" i="24"/>
  <c r="L10" i="24"/>
  <c r="P6" i="24"/>
  <c r="Q6" i="24"/>
  <c r="K6" i="24"/>
  <c r="L6" i="24"/>
  <c r="O6" i="24"/>
  <c r="Q773" i="24"/>
  <c r="P773" i="24"/>
  <c r="O773" i="24"/>
  <c r="K773" i="24"/>
  <c r="L773" i="24"/>
  <c r="L765" i="24"/>
  <c r="O765" i="24"/>
  <c r="K765" i="24"/>
  <c r="P765" i="24"/>
  <c r="Q765" i="24"/>
  <c r="K760" i="24"/>
  <c r="L760" i="24"/>
  <c r="O760" i="24"/>
  <c r="P760" i="24"/>
  <c r="Q760" i="24"/>
  <c r="L758" i="24"/>
  <c r="P758" i="24"/>
  <c r="Q758" i="24"/>
  <c r="O758" i="24"/>
  <c r="K758" i="24"/>
  <c r="O753" i="24"/>
  <c r="L753" i="24"/>
  <c r="P753" i="24"/>
  <c r="K753" i="24"/>
  <c r="Q753" i="24"/>
  <c r="P744" i="24"/>
  <c r="L744" i="24"/>
  <c r="K744" i="24"/>
  <c r="Q744" i="24"/>
  <c r="O744" i="24"/>
  <c r="O743" i="24"/>
  <c r="P743" i="24"/>
  <c r="Q743" i="24"/>
  <c r="L743" i="24"/>
  <c r="K743" i="24"/>
  <c r="P638" i="24"/>
  <c r="Q638" i="24"/>
  <c r="K638" i="24"/>
  <c r="O638" i="24"/>
  <c r="L638" i="24"/>
  <c r="Q624" i="24"/>
  <c r="P624" i="24"/>
  <c r="O624" i="24"/>
  <c r="L624" i="24"/>
  <c r="K624" i="24"/>
  <c r="P241" i="24"/>
  <c r="K241" i="24"/>
  <c r="O241" i="24"/>
  <c r="L241" i="24"/>
  <c r="Q241" i="24"/>
  <c r="Q238" i="24"/>
  <c r="P238" i="24"/>
  <c r="O238" i="24"/>
  <c r="K238" i="24"/>
  <c r="L238" i="24"/>
  <c r="Q236" i="24"/>
  <c r="O236" i="24"/>
  <c r="L236" i="24"/>
  <c r="K236" i="24"/>
  <c r="P236" i="24"/>
  <c r="Q225" i="24"/>
  <c r="L225" i="24"/>
  <c r="P225" i="24"/>
  <c r="K225" i="24"/>
  <c r="O225" i="24"/>
  <c r="P216" i="24"/>
  <c r="K216" i="24"/>
  <c r="O216" i="24"/>
  <c r="L216" i="24"/>
  <c r="Q216" i="24"/>
  <c r="K953" i="24"/>
  <c r="L953" i="24"/>
  <c r="O953" i="24"/>
  <c r="P953" i="24"/>
  <c r="Q953" i="24"/>
  <c r="P109" i="24"/>
  <c r="Q109" i="24"/>
  <c r="K109" i="24"/>
  <c r="L109" i="24"/>
  <c r="O109" i="24"/>
  <c r="Q618" i="24"/>
  <c r="O618" i="24"/>
  <c r="K618" i="24"/>
  <c r="P618" i="24"/>
  <c r="L618" i="24"/>
  <c r="L615" i="24"/>
  <c r="K615" i="24"/>
  <c r="Q615" i="24"/>
  <c r="P615" i="24"/>
  <c r="O615" i="24"/>
  <c r="K577" i="24"/>
  <c r="O577" i="24"/>
  <c r="Q577" i="24"/>
  <c r="L577" i="24"/>
  <c r="P577" i="24"/>
  <c r="K567" i="24"/>
  <c r="Q567" i="24"/>
  <c r="P567" i="24"/>
  <c r="O567" i="24"/>
  <c r="L567" i="24"/>
  <c r="O560" i="24"/>
  <c r="P560" i="24"/>
  <c r="K560" i="24"/>
  <c r="L560" i="24"/>
  <c r="Q560" i="24"/>
  <c r="Q558" i="24"/>
  <c r="K558" i="24"/>
  <c r="L558" i="24"/>
  <c r="O558" i="24"/>
  <c r="P558" i="24"/>
  <c r="L557" i="24"/>
  <c r="O557" i="24"/>
  <c r="P557" i="24"/>
  <c r="Q557" i="24"/>
  <c r="K557" i="24"/>
  <c r="K527" i="24"/>
  <c r="L527" i="24"/>
  <c r="O527" i="24"/>
  <c r="P527" i="24"/>
  <c r="Q527" i="24"/>
  <c r="K517" i="24"/>
  <c r="L517" i="24"/>
  <c r="P517" i="24"/>
  <c r="Q517" i="24"/>
  <c r="O517" i="24"/>
  <c r="O516" i="24"/>
  <c r="P516" i="24"/>
  <c r="Q516" i="24"/>
  <c r="K516" i="24"/>
  <c r="L516" i="24"/>
  <c r="Q507" i="24"/>
  <c r="L507" i="24"/>
  <c r="K507" i="24"/>
  <c r="O507" i="24"/>
  <c r="P507" i="24"/>
  <c r="Q504" i="24"/>
  <c r="P504" i="24"/>
  <c r="O504" i="24"/>
  <c r="L504" i="24"/>
  <c r="K504" i="24"/>
  <c r="K503" i="24"/>
  <c r="L503" i="24"/>
  <c r="O503" i="24"/>
  <c r="Q503" i="24"/>
  <c r="P503" i="24"/>
  <c r="L479" i="24"/>
  <c r="O479" i="24"/>
  <c r="P479" i="24"/>
  <c r="Q479" i="24"/>
  <c r="K479" i="24"/>
  <c r="K452" i="24"/>
  <c r="O452" i="24"/>
  <c r="Q452" i="24"/>
  <c r="L452" i="24"/>
  <c r="P452" i="24"/>
  <c r="O451" i="24"/>
  <c r="P451" i="24"/>
  <c r="K451" i="24"/>
  <c r="Q451" i="24"/>
  <c r="L451" i="24"/>
  <c r="P450" i="24"/>
  <c r="K450" i="24"/>
  <c r="L450" i="24"/>
  <c r="Q450" i="24"/>
  <c r="O450" i="24"/>
  <c r="K440" i="24"/>
  <c r="Q440" i="24"/>
  <c r="O440" i="24"/>
  <c r="P440" i="24"/>
  <c r="L440" i="24"/>
  <c r="P439" i="24"/>
  <c r="Q439" i="24"/>
  <c r="L439" i="24"/>
  <c r="K439" i="24"/>
  <c r="O439" i="24"/>
  <c r="P438" i="24"/>
  <c r="Q438" i="24"/>
  <c r="K438" i="24"/>
  <c r="L438" i="24"/>
  <c r="O438" i="24"/>
  <c r="O436" i="24"/>
  <c r="Q436" i="24"/>
  <c r="L436" i="24"/>
  <c r="K436" i="24"/>
  <c r="P436" i="24"/>
  <c r="O430" i="24"/>
  <c r="Q430" i="24"/>
  <c r="L430" i="24"/>
  <c r="K430" i="24"/>
  <c r="P430" i="24"/>
  <c r="L421" i="24"/>
  <c r="K421" i="24"/>
  <c r="Q421" i="24"/>
  <c r="O421" i="24"/>
  <c r="P421" i="24"/>
  <c r="Q409" i="24"/>
  <c r="K409" i="24"/>
  <c r="L409" i="24"/>
  <c r="O409" i="24"/>
  <c r="P409" i="24"/>
  <c r="K402" i="24"/>
  <c r="Q402" i="24"/>
  <c r="L402" i="24"/>
  <c r="P402" i="24"/>
  <c r="O402" i="24"/>
  <c r="O383" i="24"/>
  <c r="P383" i="24"/>
  <c r="K383" i="24"/>
  <c r="L383" i="24"/>
  <c r="Q383" i="24"/>
  <c r="Q360" i="24"/>
  <c r="O360" i="24"/>
  <c r="L360" i="24"/>
  <c r="K360" i="24"/>
  <c r="P360" i="24"/>
  <c r="O337" i="24"/>
  <c r="Q337" i="24"/>
  <c r="P337" i="24"/>
  <c r="L337" i="24"/>
  <c r="K337" i="24"/>
  <c r="P28" i="24"/>
  <c r="L28" i="24"/>
  <c r="O28" i="24"/>
  <c r="Q28" i="24"/>
  <c r="K28" i="24"/>
  <c r="L22" i="24"/>
  <c r="K22" i="24"/>
  <c r="P22" i="24"/>
  <c r="Q22" i="24"/>
  <c r="O22" i="24"/>
  <c r="L7" i="24"/>
  <c r="Q7" i="24"/>
  <c r="O7" i="24"/>
  <c r="P7" i="24"/>
  <c r="K7" i="24"/>
  <c r="P5" i="24"/>
  <c r="L5" i="24"/>
  <c r="O5" i="24"/>
  <c r="K5" i="24"/>
  <c r="Q5" i="24"/>
  <c r="O3" i="24"/>
  <c r="Q3" i="24"/>
  <c r="K3" i="24"/>
  <c r="L3" i="24"/>
  <c r="P3" i="24"/>
  <c r="P226" i="24"/>
  <c r="Q226" i="24"/>
  <c r="L226" i="24"/>
  <c r="K226" i="24"/>
  <c r="O226" i="24"/>
  <c r="O599" i="24"/>
  <c r="P599" i="24"/>
  <c r="K599" i="24"/>
  <c r="L599" i="24"/>
  <c r="Q599" i="24"/>
  <c r="K585" i="24"/>
  <c r="L585" i="24"/>
  <c r="Q585" i="24"/>
  <c r="P585" i="24"/>
  <c r="O585" i="24"/>
  <c r="L575" i="24"/>
  <c r="K575" i="24"/>
  <c r="P575" i="24"/>
  <c r="Q575" i="24"/>
  <c r="O575" i="24"/>
  <c r="K573" i="24"/>
  <c r="O573" i="24"/>
  <c r="L573" i="24"/>
  <c r="P573" i="24"/>
  <c r="Q573" i="24"/>
  <c r="O571" i="24"/>
  <c r="P571" i="24"/>
  <c r="K571" i="24"/>
  <c r="Q571" i="24"/>
  <c r="L571" i="24"/>
  <c r="L568" i="24"/>
  <c r="K568" i="24"/>
  <c r="O568" i="24"/>
  <c r="P568" i="24"/>
  <c r="Q568" i="24"/>
  <c r="L561" i="24"/>
  <c r="K561" i="24"/>
  <c r="O561" i="24"/>
  <c r="P561" i="24"/>
  <c r="Q561" i="24"/>
  <c r="O530" i="24"/>
  <c r="Q530" i="24"/>
  <c r="P530" i="24"/>
  <c r="K530" i="24"/>
  <c r="L530" i="24"/>
  <c r="Q528" i="24"/>
  <c r="P528" i="24"/>
  <c r="O528" i="24"/>
  <c r="L528" i="24"/>
  <c r="K528" i="24"/>
  <c r="P502" i="24"/>
  <c r="O502" i="24"/>
  <c r="L502" i="24"/>
  <c r="K502" i="24"/>
  <c r="Q502" i="24"/>
  <c r="Q500" i="24"/>
  <c r="O500" i="24"/>
  <c r="P500" i="24"/>
  <c r="K500" i="24"/>
  <c r="L500" i="24"/>
  <c r="O488" i="24"/>
  <c r="P488" i="24"/>
  <c r="L488" i="24"/>
  <c r="Q488" i="24"/>
  <c r="K488" i="24"/>
  <c r="L475" i="24"/>
  <c r="Q475" i="24"/>
  <c r="P475" i="24"/>
  <c r="O475" i="24"/>
  <c r="K475" i="24"/>
  <c r="L461" i="24"/>
  <c r="K461" i="24"/>
  <c r="Q461" i="24"/>
  <c r="P461" i="24"/>
  <c r="O461" i="24"/>
  <c r="K432" i="24"/>
  <c r="Q432" i="24"/>
  <c r="P432" i="24"/>
  <c r="O432" i="24"/>
  <c r="L432" i="24"/>
  <c r="L431" i="24"/>
  <c r="O431" i="24"/>
  <c r="Q431" i="24"/>
  <c r="K431" i="24"/>
  <c r="P431" i="24"/>
  <c r="K424" i="24"/>
  <c r="L424" i="24"/>
  <c r="P424" i="24"/>
  <c r="Q424" i="24"/>
  <c r="O424" i="24"/>
  <c r="Q423" i="24"/>
  <c r="P423" i="24"/>
  <c r="K423" i="24"/>
  <c r="O423" i="24"/>
  <c r="L423" i="24"/>
  <c r="Q386" i="24"/>
  <c r="P386" i="24"/>
  <c r="L386" i="24"/>
  <c r="K386" i="24"/>
  <c r="O386" i="24"/>
  <c r="O384" i="24"/>
  <c r="Q384" i="24"/>
  <c r="L384" i="24"/>
  <c r="K384" i="24"/>
  <c r="P384" i="24"/>
  <c r="L381" i="24"/>
  <c r="Q381" i="24"/>
  <c r="K381" i="24"/>
  <c r="O381" i="24"/>
  <c r="P381" i="24"/>
  <c r="O376" i="24"/>
  <c r="K376" i="24"/>
  <c r="P376" i="24"/>
  <c r="L376" i="24"/>
  <c r="Q376" i="24"/>
  <c r="P371" i="24"/>
  <c r="L371" i="24"/>
  <c r="K371" i="24"/>
  <c r="O371" i="24"/>
  <c r="Q371" i="24"/>
  <c r="K357" i="24"/>
  <c r="O357" i="24"/>
  <c r="L357" i="24"/>
  <c r="Q357" i="24"/>
  <c r="P357" i="24"/>
  <c r="P351" i="24"/>
  <c r="L351" i="24"/>
  <c r="Q351" i="24"/>
  <c r="O351" i="24"/>
  <c r="K351" i="24"/>
  <c r="L341" i="24"/>
  <c r="O341" i="24"/>
  <c r="Q341" i="24"/>
  <c r="K341" i="24"/>
  <c r="P341" i="24"/>
  <c r="K333" i="24"/>
  <c r="Q333" i="24"/>
  <c r="P333" i="24"/>
  <c r="L333" i="24"/>
  <c r="O333" i="24"/>
  <c r="P332" i="24"/>
  <c r="L332" i="24"/>
  <c r="Q332" i="24"/>
  <c r="O332" i="24"/>
  <c r="K332" i="24"/>
  <c r="P200" i="24"/>
  <c r="Q200" i="24"/>
  <c r="O200" i="24"/>
  <c r="K200" i="24"/>
  <c r="L200" i="24"/>
  <c r="O47" i="24"/>
  <c r="Q47" i="24"/>
  <c r="P47" i="24"/>
  <c r="K47" i="24"/>
  <c r="L47" i="24"/>
  <c r="L39" i="24"/>
  <c r="K39" i="24"/>
  <c r="O39" i="24"/>
  <c r="Q39" i="24"/>
  <c r="P39" i="24"/>
  <c r="Q35" i="24"/>
  <c r="P35" i="24"/>
  <c r="O35" i="24"/>
  <c r="L35" i="24"/>
  <c r="K35" i="24"/>
  <c r="Q33" i="24"/>
  <c r="P33" i="24"/>
  <c r="O33" i="24"/>
  <c r="L33" i="24"/>
  <c r="K33" i="24"/>
  <c r="O32" i="24"/>
  <c r="L32" i="24"/>
  <c r="K32" i="24"/>
  <c r="Q32" i="24"/>
  <c r="P32" i="24"/>
  <c r="Q30" i="24"/>
  <c r="P30" i="24"/>
  <c r="O30" i="24"/>
  <c r="L30" i="24"/>
  <c r="K30" i="24"/>
  <c r="K20" i="24"/>
  <c r="L20" i="24"/>
  <c r="Q20" i="24"/>
  <c r="O20" i="24"/>
  <c r="P20" i="24"/>
  <c r="K8" i="24"/>
  <c r="L8" i="24"/>
  <c r="Q8" i="24"/>
  <c r="P8" i="24"/>
  <c r="O8" i="24"/>
  <c r="L778" i="24"/>
  <c r="Q778" i="24"/>
  <c r="P778" i="24"/>
  <c r="O778" i="24"/>
  <c r="K778" i="24"/>
  <c r="P776" i="24"/>
  <c r="Q776" i="24"/>
  <c r="L776" i="24"/>
  <c r="K776" i="24"/>
  <c r="O776" i="24"/>
  <c r="L775" i="24"/>
  <c r="K775" i="24"/>
  <c r="O775" i="24"/>
  <c r="P775" i="24"/>
  <c r="Q775" i="24"/>
  <c r="O768" i="24"/>
  <c r="K768" i="24"/>
  <c r="L768" i="24"/>
  <c r="P768" i="24"/>
  <c r="Q768" i="24"/>
  <c r="L735" i="24"/>
  <c r="O735" i="24"/>
  <c r="Q735" i="24"/>
  <c r="P735" i="24"/>
  <c r="K735" i="24"/>
  <c r="Q731" i="24"/>
  <c r="L731" i="24"/>
  <c r="K731" i="24"/>
  <c r="P731" i="24"/>
  <c r="O731" i="24"/>
  <c r="K730" i="24"/>
  <c r="O730" i="24"/>
  <c r="P730" i="24"/>
  <c r="Q730" i="24"/>
  <c r="L730" i="24"/>
  <c r="K727" i="24"/>
  <c r="O727" i="24"/>
  <c r="P727" i="24"/>
  <c r="Q727" i="24"/>
  <c r="L727" i="24"/>
  <c r="Q726" i="24"/>
  <c r="P726" i="24"/>
  <c r="O726" i="24"/>
  <c r="L726" i="24"/>
  <c r="K726" i="24"/>
  <c r="K722" i="24"/>
  <c r="L722" i="24"/>
  <c r="Q722" i="24"/>
  <c r="P722" i="24"/>
  <c r="O722" i="24"/>
  <c r="P710" i="24"/>
  <c r="K710" i="24"/>
  <c r="Q710" i="24"/>
  <c r="O710" i="24"/>
  <c r="L710" i="24"/>
  <c r="L709" i="24"/>
  <c r="P709" i="24"/>
  <c r="K709" i="24"/>
  <c r="Q709" i="24"/>
  <c r="O709" i="24"/>
  <c r="P666" i="24"/>
  <c r="K666" i="24"/>
  <c r="O666" i="24"/>
  <c r="L666" i="24"/>
  <c r="Q666" i="24"/>
  <c r="L658" i="24"/>
  <c r="K658" i="24"/>
  <c r="P658" i="24"/>
  <c r="Q658" i="24"/>
  <c r="O658" i="24"/>
  <c r="P652" i="24"/>
  <c r="Q652" i="24"/>
  <c r="O652" i="24"/>
  <c r="K652" i="24"/>
  <c r="L652" i="24"/>
  <c r="L651" i="24"/>
  <c r="O651" i="24"/>
  <c r="Q651" i="24"/>
  <c r="K651" i="24"/>
  <c r="P651" i="24"/>
  <c r="P650" i="24"/>
  <c r="Q650" i="24"/>
  <c r="L650" i="24"/>
  <c r="K650" i="24"/>
  <c r="O650" i="24"/>
  <c r="K644" i="24"/>
  <c r="P644" i="24"/>
  <c r="L644" i="24"/>
  <c r="O644" i="24"/>
  <c r="Q644" i="24"/>
  <c r="K643" i="24"/>
  <c r="L643" i="24"/>
  <c r="O643" i="24"/>
  <c r="P643" i="24"/>
  <c r="Q643" i="24"/>
  <c r="Q637" i="24"/>
  <c r="O637" i="24"/>
  <c r="L637" i="24"/>
  <c r="K637" i="24"/>
  <c r="P637" i="24"/>
  <c r="P636" i="24"/>
  <c r="Q636" i="24"/>
  <c r="O636" i="24"/>
  <c r="L636" i="24"/>
  <c r="K636" i="24"/>
  <c r="L632" i="24"/>
  <c r="Q632" i="24"/>
  <c r="K632" i="24"/>
  <c r="P632" i="24"/>
  <c r="O632" i="24"/>
  <c r="Q623" i="24"/>
  <c r="K623" i="24"/>
  <c r="L623" i="24"/>
  <c r="O623" i="24"/>
  <c r="P623" i="24"/>
  <c r="L280" i="24"/>
  <c r="P280" i="24"/>
  <c r="O280" i="24"/>
  <c r="Q280" i="24"/>
  <c r="K280" i="24"/>
  <c r="L227" i="24"/>
  <c r="O227" i="24"/>
  <c r="Q227" i="24"/>
  <c r="P227" i="24"/>
  <c r="K227" i="24"/>
  <c r="L91" i="24"/>
  <c r="O91" i="24"/>
  <c r="Q91" i="24"/>
  <c r="K91" i="24"/>
  <c r="P91" i="24"/>
  <c r="K619" i="24"/>
  <c r="O619" i="24"/>
  <c r="Q619" i="24"/>
  <c r="L619" i="24"/>
  <c r="P619" i="24"/>
  <c r="L602" i="24"/>
  <c r="O602" i="24"/>
  <c r="P602" i="24"/>
  <c r="Q602" i="24"/>
  <c r="K602" i="24"/>
  <c r="O564" i="24"/>
  <c r="Q564" i="24"/>
  <c r="L564" i="24"/>
  <c r="K564" i="24"/>
  <c r="P564" i="24"/>
  <c r="O559" i="24"/>
  <c r="P559" i="24"/>
  <c r="Q559" i="24"/>
  <c r="K559" i="24"/>
  <c r="L559" i="24"/>
  <c r="P550" i="24"/>
  <c r="Q550" i="24"/>
  <c r="K550" i="24"/>
  <c r="L550" i="24"/>
  <c r="O550" i="24"/>
  <c r="K548" i="24"/>
  <c r="L548" i="24"/>
  <c r="O548" i="24"/>
  <c r="P548" i="24"/>
  <c r="Q548" i="24"/>
  <c r="K543" i="24"/>
  <c r="P543" i="24"/>
  <c r="Q543" i="24"/>
  <c r="O543" i="24"/>
  <c r="L543" i="24"/>
  <c r="K541" i="24"/>
  <c r="Q541" i="24"/>
  <c r="O541" i="24"/>
  <c r="L541" i="24"/>
  <c r="P541" i="24"/>
  <c r="L520" i="24"/>
  <c r="O520" i="24"/>
  <c r="Q520" i="24"/>
  <c r="P520" i="24"/>
  <c r="K520" i="24"/>
  <c r="O508" i="24"/>
  <c r="P508" i="24"/>
  <c r="Q508" i="24"/>
  <c r="K508" i="24"/>
  <c r="L508" i="24"/>
  <c r="O489" i="24"/>
  <c r="K489" i="24"/>
  <c r="L489" i="24"/>
  <c r="P489" i="24"/>
  <c r="Q489" i="24"/>
  <c r="L472" i="24"/>
  <c r="K472" i="24"/>
  <c r="Q472" i="24"/>
  <c r="P472" i="24"/>
  <c r="O472" i="24"/>
  <c r="P458" i="24"/>
  <c r="L458" i="24"/>
  <c r="O458" i="24"/>
  <c r="Q458" i="24"/>
  <c r="K458" i="24"/>
  <c r="Q447" i="24"/>
  <c r="O447" i="24"/>
  <c r="L447" i="24"/>
  <c r="P447" i="24"/>
  <c r="K447" i="24"/>
  <c r="O446" i="24"/>
  <c r="K446" i="24"/>
  <c r="Q446" i="24"/>
  <c r="P446" i="24"/>
  <c r="L446" i="24"/>
  <c r="O445" i="24"/>
  <c r="K445" i="24"/>
  <c r="Q445" i="24"/>
  <c r="L445" i="24"/>
  <c r="P445" i="24"/>
  <c r="P380" i="24"/>
  <c r="Q380" i="24"/>
  <c r="O380" i="24"/>
  <c r="K380" i="24"/>
  <c r="L380" i="24"/>
  <c r="P366" i="24"/>
  <c r="Q366" i="24"/>
  <c r="K366" i="24"/>
  <c r="L366" i="24"/>
  <c r="O366" i="24"/>
  <c r="P343" i="24"/>
  <c r="Q343" i="24"/>
  <c r="K343" i="24"/>
  <c r="O343" i="24"/>
  <c r="L343" i="24"/>
  <c r="O329" i="24"/>
  <c r="L329" i="24"/>
  <c r="P329" i="24"/>
  <c r="K329" i="24"/>
  <c r="Q329" i="24"/>
  <c r="L221" i="24"/>
  <c r="P221" i="24"/>
  <c r="K221" i="24"/>
  <c r="O221" i="24"/>
  <c r="Q221" i="24"/>
  <c r="L220" i="24"/>
  <c r="Q220" i="24"/>
  <c r="O220" i="24"/>
  <c r="P220" i="24"/>
  <c r="K220" i="24"/>
  <c r="K23" i="24"/>
  <c r="L23" i="24"/>
  <c r="O23" i="24"/>
  <c r="P23" i="24"/>
  <c r="Q23" i="24"/>
  <c r="K764" i="24"/>
  <c r="Q764" i="24"/>
  <c r="P764" i="24"/>
  <c r="O764" i="24"/>
  <c r="L764" i="24"/>
  <c r="K569" i="24"/>
  <c r="O569" i="24"/>
  <c r="L569" i="24"/>
  <c r="P569" i="24"/>
  <c r="Q569" i="24"/>
  <c r="K565" i="24"/>
  <c r="L565" i="24"/>
  <c r="Q565" i="24"/>
  <c r="P565" i="24"/>
  <c r="O565" i="24"/>
  <c r="K563" i="24"/>
  <c r="L563" i="24"/>
  <c r="Q563" i="24"/>
  <c r="P563" i="24"/>
  <c r="O563" i="24"/>
  <c r="O526" i="24"/>
  <c r="P526" i="24"/>
  <c r="Q526" i="24"/>
  <c r="K526" i="24"/>
  <c r="L526" i="24"/>
  <c r="O459" i="24"/>
  <c r="P459" i="24"/>
  <c r="L459" i="24"/>
  <c r="Q459" i="24"/>
  <c r="K459" i="24"/>
  <c r="L457" i="24"/>
  <c r="K457" i="24"/>
  <c r="P457" i="24"/>
  <c r="Q457" i="24"/>
  <c r="O457" i="24"/>
  <c r="L394" i="24"/>
  <c r="O394" i="24"/>
  <c r="P394" i="24"/>
  <c r="Q394" i="24"/>
  <c r="K394" i="24"/>
  <c r="P391" i="24"/>
  <c r="K391" i="24"/>
  <c r="O391" i="24"/>
  <c r="L391" i="24"/>
  <c r="Q391" i="24"/>
  <c r="K888" i="24"/>
  <c r="O888" i="24"/>
  <c r="L888" i="24"/>
  <c r="P888" i="24"/>
  <c r="Q888" i="24"/>
  <c r="L923" i="24"/>
  <c r="O923" i="24"/>
  <c r="K923" i="24"/>
  <c r="Q923" i="24"/>
  <c r="P923" i="24"/>
  <c r="P19" i="24"/>
  <c r="K19" i="24"/>
  <c r="L19" i="24"/>
  <c r="O19" i="24"/>
  <c r="Q19" i="24"/>
  <c r="L974" i="24"/>
  <c r="O974" i="24"/>
  <c r="K974" i="24"/>
  <c r="P974" i="24"/>
  <c r="Q974" i="24"/>
  <c r="L973" i="24"/>
  <c r="O973" i="24"/>
  <c r="P973" i="24"/>
  <c r="Q973" i="24"/>
  <c r="K973" i="24"/>
  <c r="K960" i="24"/>
  <c r="L960" i="24"/>
  <c r="O960" i="24"/>
  <c r="P960" i="24"/>
  <c r="Q960" i="24"/>
  <c r="K958" i="24"/>
  <c r="L958" i="24"/>
  <c r="O958" i="24"/>
  <c r="P958" i="24"/>
  <c r="Q958" i="24"/>
  <c r="Q782" i="24"/>
  <c r="O782" i="24"/>
  <c r="P782" i="24"/>
  <c r="L782" i="24"/>
  <c r="K782" i="24"/>
  <c r="O777" i="24"/>
  <c r="P777" i="24"/>
  <c r="Q777" i="24"/>
  <c r="K777" i="24"/>
  <c r="L777" i="24"/>
  <c r="O774" i="24"/>
  <c r="L774" i="24"/>
  <c r="K774" i="24"/>
  <c r="Q774" i="24"/>
  <c r="P774" i="24"/>
  <c r="K772" i="24"/>
  <c r="Q772" i="24"/>
  <c r="P772" i="24"/>
  <c r="O772" i="24"/>
  <c r="L772" i="24"/>
  <c r="O771" i="24"/>
  <c r="L771" i="24"/>
  <c r="K771" i="24"/>
  <c r="P771" i="24"/>
  <c r="Q771" i="24"/>
  <c r="L770" i="24"/>
  <c r="K770" i="24"/>
  <c r="Q770" i="24"/>
  <c r="P770" i="24"/>
  <c r="O770" i="24"/>
  <c r="P769" i="24"/>
  <c r="O769" i="24"/>
  <c r="L769" i="24"/>
  <c r="K769" i="24"/>
  <c r="Q769" i="24"/>
  <c r="O763" i="24"/>
  <c r="L763" i="24"/>
  <c r="K763" i="24"/>
  <c r="P763" i="24"/>
  <c r="Q763" i="24"/>
  <c r="K761" i="24"/>
  <c r="P761" i="24"/>
  <c r="L761" i="24"/>
  <c r="Q761" i="24"/>
  <c r="O761" i="24"/>
  <c r="O759" i="24"/>
  <c r="P759" i="24"/>
  <c r="Q759" i="24"/>
  <c r="K759" i="24"/>
  <c r="L759" i="24"/>
  <c r="K741" i="24"/>
  <c r="O741" i="24"/>
  <c r="L741" i="24"/>
  <c r="P741" i="24"/>
  <c r="Q741" i="24"/>
  <c r="P733" i="24"/>
  <c r="O733" i="24"/>
  <c r="L733" i="24"/>
  <c r="K733" i="24"/>
  <c r="Q733" i="24"/>
  <c r="L732" i="24"/>
  <c r="P732" i="24"/>
  <c r="Q732" i="24"/>
  <c r="O732" i="24"/>
  <c r="K732" i="24"/>
  <c r="O723" i="24"/>
  <c r="Q723" i="24"/>
  <c r="K723" i="24"/>
  <c r="P723" i="24"/>
  <c r="L723" i="24"/>
  <c r="L719" i="24"/>
  <c r="K719" i="24"/>
  <c r="Q719" i="24"/>
  <c r="P719" i="24"/>
  <c r="O719" i="24"/>
  <c r="K718" i="24"/>
  <c r="L718" i="24"/>
  <c r="O718" i="24"/>
  <c r="Q718" i="24"/>
  <c r="P718" i="24"/>
  <c r="P714" i="24"/>
  <c r="O714" i="24"/>
  <c r="L714" i="24"/>
  <c r="Q714" i="24"/>
  <c r="K714" i="24"/>
  <c r="K707" i="24"/>
  <c r="O707" i="24"/>
  <c r="L707" i="24"/>
  <c r="P707" i="24"/>
  <c r="Q707" i="24"/>
  <c r="P702" i="24"/>
  <c r="K702" i="24"/>
  <c r="L702" i="24"/>
  <c r="O702" i="24"/>
  <c r="Q702" i="24"/>
  <c r="K701" i="24"/>
  <c r="Q701" i="24"/>
  <c r="L701" i="24"/>
  <c r="P701" i="24"/>
  <c r="O701" i="24"/>
  <c r="K700" i="24"/>
  <c r="P700" i="24"/>
  <c r="L700" i="24"/>
  <c r="Q700" i="24"/>
  <c r="O700" i="24"/>
  <c r="L699" i="24"/>
  <c r="K699" i="24"/>
  <c r="O699" i="24"/>
  <c r="P699" i="24"/>
  <c r="Q699" i="24"/>
  <c r="L694" i="24"/>
  <c r="Q694" i="24"/>
  <c r="P694" i="24"/>
  <c r="K694" i="24"/>
  <c r="O694" i="24"/>
  <c r="P693" i="24"/>
  <c r="Q693" i="24"/>
  <c r="L693" i="24"/>
  <c r="K693" i="24"/>
  <c r="O693" i="24"/>
  <c r="P689" i="24"/>
  <c r="O689" i="24"/>
  <c r="Q689" i="24"/>
  <c r="K689" i="24"/>
  <c r="L689" i="24"/>
  <c r="Q684" i="24"/>
  <c r="P684" i="24"/>
  <c r="K684" i="24"/>
  <c r="O684" i="24"/>
  <c r="L684" i="24"/>
  <c r="O665" i="24"/>
  <c r="K665" i="24"/>
  <c r="L665" i="24"/>
  <c r="P665" i="24"/>
  <c r="Q665" i="24"/>
  <c r="O664" i="24"/>
  <c r="P664" i="24"/>
  <c r="Q664" i="24"/>
  <c r="L664" i="24"/>
  <c r="K664" i="24"/>
  <c r="K660" i="24"/>
  <c r="L660" i="24"/>
  <c r="P660" i="24"/>
  <c r="Q660" i="24"/>
  <c r="O660" i="24"/>
  <c r="Q656" i="24"/>
  <c r="K656" i="24"/>
  <c r="L656" i="24"/>
  <c r="O656" i="24"/>
  <c r="P656" i="24"/>
  <c r="K655" i="24"/>
  <c r="Q655" i="24"/>
  <c r="L655" i="24"/>
  <c r="P655" i="24"/>
  <c r="O655" i="24"/>
  <c r="O654" i="24"/>
  <c r="P654" i="24"/>
  <c r="L654" i="24"/>
  <c r="Q654" i="24"/>
  <c r="K654" i="24"/>
  <c r="Q653" i="24"/>
  <c r="L653" i="24"/>
  <c r="P653" i="24"/>
  <c r="K653" i="24"/>
  <c r="O653" i="24"/>
  <c r="O649" i="24"/>
  <c r="P649" i="24"/>
  <c r="Q649" i="24"/>
  <c r="L649" i="24"/>
  <c r="K649" i="24"/>
  <c r="P639" i="24"/>
  <c r="O639" i="24"/>
  <c r="L639" i="24"/>
  <c r="Q639" i="24"/>
  <c r="K639" i="24"/>
  <c r="Q634" i="24"/>
  <c r="P634" i="24"/>
  <c r="L634" i="24"/>
  <c r="O634" i="24"/>
  <c r="K634" i="24"/>
  <c r="Q633" i="24"/>
  <c r="O633" i="24"/>
  <c r="K633" i="24"/>
  <c r="P633" i="24"/>
  <c r="L633" i="24"/>
  <c r="Q630" i="24"/>
  <c r="P630" i="24"/>
  <c r="L630" i="24"/>
  <c r="O630" i="24"/>
  <c r="K630" i="24"/>
  <c r="L233" i="24"/>
  <c r="P233" i="24"/>
  <c r="Q233" i="24"/>
  <c r="K233" i="24"/>
  <c r="O233" i="24"/>
  <c r="L228" i="24"/>
  <c r="K228" i="24"/>
  <c r="P228" i="24"/>
  <c r="Q228" i="24"/>
  <c r="O228" i="24"/>
  <c r="P180" i="24"/>
  <c r="O180" i="24"/>
  <c r="L180" i="24"/>
  <c r="K180" i="24"/>
  <c r="Q180" i="24"/>
  <c r="K161" i="24"/>
  <c r="O161" i="24"/>
  <c r="Q161" i="24"/>
  <c r="P161" i="24"/>
  <c r="L161" i="24"/>
  <c r="P119" i="24"/>
  <c r="Q119" i="24"/>
  <c r="K119" i="24"/>
  <c r="O119" i="24"/>
  <c r="L119" i="24"/>
  <c r="Q104" i="24"/>
  <c r="K104" i="24"/>
  <c r="P104" i="24"/>
  <c r="O104" i="24"/>
  <c r="L104" i="24"/>
  <c r="K60" i="24"/>
  <c r="Q60" i="24"/>
  <c r="P60" i="24"/>
  <c r="O60" i="24"/>
  <c r="L60" i="24"/>
  <c r="K620" i="24"/>
  <c r="L620" i="24"/>
  <c r="O620" i="24"/>
  <c r="P620" i="24"/>
  <c r="Q620" i="24"/>
  <c r="P613" i="24"/>
  <c r="L613" i="24"/>
  <c r="Q613" i="24"/>
  <c r="O613" i="24"/>
  <c r="K613" i="24"/>
  <c r="L610" i="24"/>
  <c r="K610" i="24"/>
  <c r="Q610" i="24"/>
  <c r="P610" i="24"/>
  <c r="O610" i="24"/>
  <c r="L556" i="24"/>
  <c r="P556" i="24"/>
  <c r="K556" i="24"/>
  <c r="Q556" i="24"/>
  <c r="O556" i="24"/>
  <c r="P555" i="24"/>
  <c r="Q555" i="24"/>
  <c r="K555" i="24"/>
  <c r="L555" i="24"/>
  <c r="O555" i="24"/>
  <c r="Q554" i="24"/>
  <c r="L554" i="24"/>
  <c r="P554" i="24"/>
  <c r="O554" i="24"/>
  <c r="K554" i="24"/>
  <c r="L553" i="24"/>
  <c r="Q553" i="24"/>
  <c r="K553" i="24"/>
  <c r="O553" i="24"/>
  <c r="P553" i="24"/>
  <c r="P551" i="24"/>
  <c r="Q551" i="24"/>
  <c r="L551" i="24"/>
  <c r="O551" i="24"/>
  <c r="K551" i="24"/>
  <c r="O546" i="24"/>
  <c r="P546" i="24"/>
  <c r="K546" i="24"/>
  <c r="Q546" i="24"/>
  <c r="L546" i="24"/>
  <c r="O545" i="24"/>
  <c r="Q545" i="24"/>
  <c r="P545" i="24"/>
  <c r="K545" i="24"/>
  <c r="L545" i="24"/>
  <c r="Q539" i="24"/>
  <c r="P539" i="24"/>
  <c r="O539" i="24"/>
  <c r="L539" i="24"/>
  <c r="K539" i="24"/>
  <c r="P532" i="24"/>
  <c r="O532" i="24"/>
  <c r="L532" i="24"/>
  <c r="K532" i="24"/>
  <c r="Q532" i="24"/>
  <c r="Q529" i="24"/>
  <c r="P529" i="24"/>
  <c r="O529" i="24"/>
  <c r="L529" i="24"/>
  <c r="K529" i="24"/>
  <c r="O524" i="24"/>
  <c r="P524" i="24"/>
  <c r="Q524" i="24"/>
  <c r="K524" i="24"/>
  <c r="L524" i="24"/>
  <c r="O522" i="24"/>
  <c r="K522" i="24"/>
  <c r="P522" i="24"/>
  <c r="L522" i="24"/>
  <c r="Q522" i="24"/>
  <c r="L521" i="24"/>
  <c r="K521" i="24"/>
  <c r="O521" i="24"/>
  <c r="Q521" i="24"/>
  <c r="P521" i="24"/>
  <c r="Q515" i="24"/>
  <c r="P515" i="24"/>
  <c r="O515" i="24"/>
  <c r="L515" i="24"/>
  <c r="K515" i="24"/>
  <c r="K514" i="24"/>
  <c r="O514" i="24"/>
  <c r="P514" i="24"/>
  <c r="Q514" i="24"/>
  <c r="L514" i="24"/>
  <c r="L513" i="24"/>
  <c r="Q513" i="24"/>
  <c r="P513" i="24"/>
  <c r="O513" i="24"/>
  <c r="K513" i="24"/>
  <c r="O492" i="24"/>
  <c r="P492" i="24"/>
  <c r="Q492" i="24"/>
  <c r="K492" i="24"/>
  <c r="L492" i="24"/>
  <c r="K477" i="24"/>
  <c r="L477" i="24"/>
  <c r="O477" i="24"/>
  <c r="P477" i="24"/>
  <c r="Q477" i="24"/>
  <c r="O469" i="24"/>
  <c r="P469" i="24"/>
  <c r="Q469" i="24"/>
  <c r="L469" i="24"/>
  <c r="K469" i="24"/>
  <c r="P462" i="24"/>
  <c r="Q462" i="24"/>
  <c r="O462" i="24"/>
  <c r="K462" i="24"/>
  <c r="L462" i="24"/>
  <c r="P443" i="24"/>
  <c r="K443" i="24"/>
  <c r="L443" i="24"/>
  <c r="Q443" i="24"/>
  <c r="O443" i="24"/>
  <c r="K429" i="24"/>
  <c r="L429" i="24"/>
  <c r="P429" i="24"/>
  <c r="Q429" i="24"/>
  <c r="O429" i="24"/>
  <c r="P427" i="24"/>
  <c r="O427" i="24"/>
  <c r="Q427" i="24"/>
  <c r="K427" i="24"/>
  <c r="L427" i="24"/>
  <c r="L373" i="24"/>
  <c r="K373" i="24"/>
  <c r="P373" i="24"/>
  <c r="Q373" i="24"/>
  <c r="O373" i="24"/>
  <c r="Q372" i="24"/>
  <c r="O372" i="24"/>
  <c r="K372" i="24"/>
  <c r="L372" i="24"/>
  <c r="P372" i="24"/>
  <c r="K331" i="24"/>
  <c r="P331" i="24"/>
  <c r="L331" i="24"/>
  <c r="Q331" i="24"/>
  <c r="O331" i="24"/>
  <c r="Q330" i="24"/>
  <c r="P330" i="24"/>
  <c r="O330" i="24"/>
  <c r="L330" i="24"/>
  <c r="K330" i="24"/>
  <c r="P43" i="24"/>
  <c r="O43" i="24"/>
  <c r="K43" i="24"/>
  <c r="Q43" i="24"/>
  <c r="L43" i="24"/>
  <c r="P36" i="24"/>
  <c r="K36" i="24"/>
  <c r="L36" i="24"/>
  <c r="O36" i="24"/>
  <c r="Q36" i="24"/>
  <c r="O31" i="24"/>
  <c r="Q31" i="24"/>
  <c r="L31" i="24"/>
  <c r="K31" i="24"/>
  <c r="P31" i="24"/>
  <c r="P29" i="24"/>
  <c r="O29" i="24"/>
  <c r="Q29" i="24"/>
  <c r="K29" i="24"/>
  <c r="L29" i="24"/>
  <c r="K954" i="24"/>
  <c r="Q954" i="24"/>
  <c r="O954" i="24"/>
  <c r="P954" i="24"/>
  <c r="L954" i="24"/>
  <c r="O752" i="24"/>
  <c r="P752" i="24"/>
  <c r="Q752" i="24"/>
  <c r="K752" i="24"/>
  <c r="L752" i="24"/>
  <c r="O751" i="24"/>
  <c r="Q751" i="24"/>
  <c r="P751" i="24"/>
  <c r="L751" i="24"/>
  <c r="K751" i="24"/>
  <c r="Q749" i="24"/>
  <c r="P749" i="24"/>
  <c r="K749" i="24"/>
  <c r="L749" i="24"/>
  <c r="O749" i="24"/>
  <c r="Q745" i="24"/>
  <c r="P745" i="24"/>
  <c r="O745" i="24"/>
  <c r="L745" i="24"/>
  <c r="K745" i="24"/>
  <c r="K742" i="24"/>
  <c r="P742" i="24"/>
  <c r="O742" i="24"/>
  <c r="Q742" i="24"/>
  <c r="L742" i="24"/>
  <c r="K713" i="24"/>
  <c r="Q713" i="24"/>
  <c r="O713" i="24"/>
  <c r="L713" i="24"/>
  <c r="P713" i="24"/>
  <c r="P712" i="24"/>
  <c r="K712" i="24"/>
  <c r="Q712" i="24"/>
  <c r="O712" i="24"/>
  <c r="L712" i="24"/>
  <c r="L708" i="24"/>
  <c r="O708" i="24"/>
  <c r="K708" i="24"/>
  <c r="P708" i="24"/>
  <c r="Q708" i="24"/>
  <c r="L683" i="24"/>
  <c r="K683" i="24"/>
  <c r="O683" i="24"/>
  <c r="P683" i="24"/>
  <c r="Q683" i="24"/>
  <c r="Q657" i="24"/>
  <c r="O657" i="24"/>
  <c r="K657" i="24"/>
  <c r="P657" i="24"/>
  <c r="L657" i="24"/>
  <c r="L625" i="24"/>
  <c r="K625" i="24"/>
  <c r="P625" i="24"/>
  <c r="Q625" i="24"/>
  <c r="O625" i="24"/>
  <c r="K232" i="24"/>
  <c r="Q232" i="24"/>
  <c r="O232" i="24"/>
  <c r="P232" i="24"/>
  <c r="L232" i="24"/>
  <c r="O572" i="24"/>
  <c r="K572" i="24"/>
  <c r="Q572" i="24"/>
  <c r="P572" i="24"/>
  <c r="L572" i="24"/>
  <c r="O537" i="24"/>
  <c r="L537" i="24"/>
  <c r="P537" i="24"/>
  <c r="Q537" i="24"/>
  <c r="K537" i="24"/>
  <c r="P534" i="24"/>
  <c r="Q534" i="24"/>
  <c r="L534" i="24"/>
  <c r="O534" i="24"/>
  <c r="K534" i="24"/>
  <c r="L437" i="24"/>
  <c r="P437" i="24"/>
  <c r="Q437" i="24"/>
  <c r="O437" i="24"/>
  <c r="K437" i="24"/>
  <c r="K435" i="24"/>
  <c r="O435" i="24"/>
  <c r="L435" i="24"/>
  <c r="P435" i="24"/>
  <c r="Q435" i="24"/>
  <c r="O873" i="24"/>
  <c r="L873" i="24"/>
  <c r="K873" i="24"/>
  <c r="Q873" i="24"/>
  <c r="P873" i="24"/>
  <c r="Q460" i="24"/>
  <c r="P460" i="24"/>
  <c r="O460" i="24"/>
  <c r="K460" i="24"/>
  <c r="L460" i="24"/>
  <c r="O434" i="24"/>
  <c r="K434" i="24"/>
  <c r="L434" i="24"/>
  <c r="Q434" i="24"/>
  <c r="P434" i="24"/>
  <c r="O335" i="24"/>
  <c r="L335" i="24"/>
  <c r="P335" i="24"/>
  <c r="K335" i="24"/>
  <c r="Q335" i="24"/>
  <c r="K414" i="24"/>
  <c r="L414" i="24"/>
  <c r="Q414" i="24"/>
  <c r="P414" i="24"/>
  <c r="O414" i="24"/>
  <c r="Q369" i="24"/>
  <c r="O369" i="24"/>
  <c r="K369" i="24"/>
  <c r="L369" i="24"/>
  <c r="P369" i="24"/>
  <c r="L362" i="24"/>
  <c r="Q362" i="24"/>
  <c r="O362" i="24"/>
  <c r="P362" i="24"/>
  <c r="K362" i="24"/>
  <c r="L413" i="24"/>
  <c r="P413" i="24"/>
  <c r="O413" i="24"/>
  <c r="Q413" i="24"/>
  <c r="K413" i="24"/>
  <c r="P927" i="24"/>
  <c r="K927" i="24"/>
  <c r="O927" i="24"/>
  <c r="L927" i="24"/>
  <c r="Q927" i="24"/>
  <c r="Q617" i="24"/>
  <c r="O617" i="24"/>
  <c r="L617" i="24"/>
  <c r="P617" i="24"/>
  <c r="K617" i="24"/>
  <c r="Q603" i="24"/>
  <c r="K603" i="24"/>
  <c r="L603" i="24"/>
  <c r="O603" i="24"/>
  <c r="P603" i="24"/>
  <c r="L562" i="24"/>
  <c r="K562" i="24"/>
  <c r="P562" i="24"/>
  <c r="O562" i="24"/>
  <c r="Q562" i="24"/>
  <c r="O547" i="24"/>
  <c r="Q547" i="24"/>
  <c r="P547" i="24"/>
  <c r="L547" i="24"/>
  <c r="K547" i="24"/>
  <c r="O533" i="24"/>
  <c r="L533" i="24"/>
  <c r="Q533" i="24"/>
  <c r="K533" i="24"/>
  <c r="P533" i="24"/>
  <c r="K542" i="24"/>
  <c r="L542" i="24"/>
  <c r="Q542" i="24"/>
  <c r="P542" i="24"/>
  <c r="O542" i="24"/>
  <c r="O223" i="24"/>
  <c r="Q223" i="24"/>
  <c r="K223" i="24"/>
  <c r="P223" i="24"/>
  <c r="L223" i="24"/>
  <c r="O162" i="24"/>
  <c r="L162" i="24"/>
  <c r="Q162" i="24"/>
  <c r="K162" i="24"/>
  <c r="P162" i="24"/>
  <c r="P42" i="24"/>
  <c r="O42" i="24"/>
  <c r="K42" i="24"/>
  <c r="L42" i="24"/>
  <c r="Q42" i="24"/>
  <c r="L827" i="24"/>
  <c r="K827" i="24"/>
  <c r="Q827" i="24"/>
  <c r="P827" i="24"/>
  <c r="O827" i="24"/>
  <c r="P832" i="24"/>
  <c r="O832" i="24"/>
  <c r="Q832" i="24"/>
  <c r="L832" i="24"/>
  <c r="K832" i="24"/>
  <c r="O919" i="24"/>
  <c r="Q919" i="24"/>
  <c r="K919" i="24"/>
  <c r="P919" i="24"/>
  <c r="L919" i="24"/>
  <c r="O679" i="24"/>
  <c r="P679" i="24"/>
  <c r="Q679" i="24"/>
  <c r="K679" i="24"/>
  <c r="L679" i="24"/>
  <c r="K454" i="24"/>
  <c r="O454" i="24"/>
  <c r="L454" i="24"/>
  <c r="Q454" i="24"/>
  <c r="P454" i="24"/>
  <c r="P444" i="24"/>
  <c r="Q444" i="24"/>
  <c r="K444" i="24"/>
  <c r="O444" i="24"/>
  <c r="L444" i="24"/>
  <c r="O433" i="24"/>
  <c r="P433" i="24"/>
  <c r="Q433" i="24"/>
  <c r="K433" i="24"/>
  <c r="L433" i="24"/>
  <c r="K428" i="24"/>
  <c r="O428" i="24"/>
  <c r="L428" i="24"/>
  <c r="P428" i="24"/>
  <c r="Q428" i="24"/>
  <c r="P412" i="24"/>
  <c r="O412" i="24"/>
  <c r="K412" i="24"/>
  <c r="Q412" i="24"/>
  <c r="L412" i="24"/>
  <c r="Q407" i="24"/>
  <c r="K407" i="24"/>
  <c r="P407" i="24"/>
  <c r="O407" i="24"/>
  <c r="L407" i="24"/>
  <c r="O456" i="24"/>
  <c r="K456" i="24"/>
  <c r="L456" i="24"/>
  <c r="P456" i="24"/>
  <c r="Q456" i="24"/>
  <c r="Q811" i="24"/>
  <c r="P811" i="24"/>
  <c r="O811" i="24"/>
  <c r="L811" i="24"/>
  <c r="K811" i="24"/>
  <c r="K907" i="24"/>
  <c r="O907" i="24"/>
  <c r="L907" i="24"/>
  <c r="Q907" i="24"/>
  <c r="P907" i="24"/>
  <c r="L607" i="24"/>
  <c r="K607" i="24"/>
  <c r="Q607" i="24"/>
  <c r="P607" i="24"/>
  <c r="O607" i="24"/>
  <c r="K48" i="24"/>
  <c r="L48" i="24"/>
  <c r="Q48" i="24"/>
  <c r="P48" i="24"/>
  <c r="O48" i="24"/>
  <c r="O364" i="24"/>
  <c r="K364" i="24"/>
  <c r="P364" i="24"/>
  <c r="L364" i="24"/>
  <c r="Q364" i="24"/>
  <c r="P355" i="24"/>
  <c r="K355" i="24"/>
  <c r="L355" i="24"/>
  <c r="O355" i="24"/>
  <c r="Q355" i="24"/>
  <c r="L338" i="24"/>
  <c r="P338" i="24"/>
  <c r="K338" i="24"/>
  <c r="Q338" i="24"/>
  <c r="O338" i="24"/>
  <c r="P260" i="24"/>
  <c r="L260" i="24"/>
  <c r="Q260" i="24"/>
  <c r="O260" i="24"/>
  <c r="K260" i="24"/>
  <c r="Q45" i="24"/>
  <c r="P45" i="24"/>
  <c r="K45" i="24"/>
  <c r="L45" i="24"/>
  <c r="O45" i="24"/>
  <c r="L235" i="24"/>
  <c r="K235" i="24"/>
  <c r="P235" i="24"/>
  <c r="O235" i="24"/>
  <c r="Q235" i="24"/>
  <c r="P397" i="24"/>
  <c r="L397" i="24"/>
  <c r="O397" i="24"/>
  <c r="K397" i="24"/>
  <c r="Q397" i="24"/>
  <c r="O370" i="24"/>
  <c r="Q370" i="24"/>
  <c r="K370" i="24"/>
  <c r="L370" i="24"/>
  <c r="P370" i="24"/>
  <c r="K363" i="24"/>
  <c r="O363" i="24"/>
  <c r="L363" i="24"/>
  <c r="Q363" i="24"/>
  <c r="P363" i="24"/>
  <c r="Q356" i="24"/>
  <c r="P356" i="24"/>
  <c r="L356" i="24"/>
  <c r="O356" i="24"/>
  <c r="K356" i="24"/>
  <c r="L336" i="24"/>
  <c r="Q336" i="24"/>
  <c r="K336" i="24"/>
  <c r="O336" i="24"/>
  <c r="P336" i="24"/>
  <c r="K453" i="24"/>
  <c r="P453" i="24"/>
  <c r="O453" i="24"/>
  <c r="Q453" i="24"/>
  <c r="L453" i="24"/>
  <c r="O326" i="24"/>
  <c r="P326" i="24"/>
  <c r="K326" i="24"/>
  <c r="Q326" i="24"/>
  <c r="L326" i="24"/>
  <c r="P46" i="24"/>
  <c r="Q46" i="24"/>
  <c r="L46" i="24"/>
  <c r="K46" i="24"/>
  <c r="O46" i="24"/>
  <c r="Q962" i="24"/>
  <c r="P962" i="24"/>
  <c r="O962" i="24"/>
  <c r="L962" i="24"/>
  <c r="K962" i="24"/>
  <c r="L965" i="24"/>
  <c r="Q965" i="24"/>
  <c r="P965" i="24"/>
  <c r="K965" i="24"/>
  <c r="O965" i="24"/>
  <c r="K595" i="24"/>
  <c r="O595" i="24"/>
  <c r="Q595" i="24"/>
  <c r="P595" i="24"/>
  <c r="L595" i="24"/>
  <c r="L592" i="24"/>
  <c r="P592" i="24"/>
  <c r="O592" i="24"/>
  <c r="K592" i="24"/>
  <c r="Q592" i="24"/>
  <c r="Q812" i="24"/>
  <c r="P812" i="24"/>
  <c r="O812" i="24"/>
  <c r="L812" i="24"/>
  <c r="K812" i="24"/>
  <c r="P896" i="24"/>
  <c r="L896" i="24"/>
  <c r="O896" i="24"/>
  <c r="Q896" i="24"/>
  <c r="K896" i="24"/>
  <c r="K852" i="24"/>
  <c r="P852" i="24"/>
  <c r="Q852" i="24"/>
  <c r="L852" i="24"/>
  <c r="O852" i="24"/>
  <c r="O115" i="24"/>
  <c r="P115" i="24"/>
  <c r="Q115" i="24"/>
  <c r="L115" i="24"/>
  <c r="K115" i="24"/>
  <c r="K909" i="24"/>
  <c r="L909" i="24"/>
  <c r="O909" i="24"/>
  <c r="P909" i="24"/>
  <c r="Q909" i="24"/>
  <c r="O328" i="24"/>
  <c r="Q328" i="24"/>
  <c r="K328" i="24"/>
  <c r="P328" i="24"/>
  <c r="L328" i="24"/>
  <c r="P535" i="24"/>
  <c r="L535" i="24"/>
  <c r="Q535" i="24"/>
  <c r="K535" i="24"/>
  <c r="O535" i="24"/>
  <c r="L531" i="24"/>
  <c r="K531" i="24"/>
  <c r="O531" i="24"/>
  <c r="P531" i="24"/>
  <c r="Q531" i="24"/>
  <c r="K578" i="24"/>
  <c r="L578" i="24"/>
  <c r="O578" i="24"/>
  <c r="P578" i="24"/>
  <c r="Q578" i="24"/>
  <c r="O455" i="24"/>
  <c r="K455" i="24"/>
  <c r="L455" i="24"/>
  <c r="P455" i="24"/>
  <c r="Q455" i="24"/>
  <c r="P917" i="24"/>
  <c r="K917" i="24"/>
  <c r="L917" i="24"/>
  <c r="O917" i="24"/>
  <c r="Q917" i="24"/>
  <c r="L908" i="24"/>
  <c r="O908" i="24"/>
  <c r="P908" i="24"/>
  <c r="Q908" i="24"/>
  <c r="K908" i="24"/>
  <c r="O905" i="24"/>
  <c r="K905" i="24"/>
  <c r="L905" i="24"/>
  <c r="P905" i="24"/>
  <c r="Q905" i="24"/>
  <c r="Q676" i="24"/>
  <c r="L676" i="24"/>
  <c r="K676" i="24"/>
  <c r="O676" i="24"/>
  <c r="P676" i="24"/>
  <c r="Q767" i="24"/>
  <c r="L767" i="24"/>
  <c r="K767" i="24"/>
  <c r="P767" i="24"/>
  <c r="O767" i="24"/>
  <c r="O748" i="24"/>
  <c r="P748" i="24"/>
  <c r="K748" i="24"/>
  <c r="Q748" i="24"/>
  <c r="L748" i="24"/>
  <c r="L887" i="24"/>
  <c r="P887" i="24"/>
  <c r="O887" i="24"/>
  <c r="Q887" i="24"/>
  <c r="K887" i="24"/>
  <c r="O945" i="24"/>
  <c r="Q945" i="24"/>
  <c r="P945" i="24"/>
  <c r="K945" i="24"/>
  <c r="L945" i="24"/>
  <c r="L799" i="24"/>
  <c r="O799" i="24"/>
  <c r="K799" i="24"/>
  <c r="P799" i="24"/>
  <c r="Q799" i="24"/>
  <c r="L408" i="24"/>
  <c r="O408" i="24"/>
  <c r="P408" i="24"/>
  <c r="K408" i="24"/>
  <c r="Q408" i="24"/>
  <c r="L345" i="24"/>
  <c r="P345" i="24"/>
  <c r="K345" i="24"/>
  <c r="Q345" i="24"/>
  <c r="O345" i="24"/>
  <c r="Q736" i="24"/>
  <c r="L736" i="24"/>
  <c r="K736" i="24"/>
  <c r="O736" i="24"/>
  <c r="P736" i="24"/>
  <c r="K728" i="24"/>
  <c r="L728" i="24"/>
  <c r="Q728" i="24"/>
  <c r="P728" i="24"/>
  <c r="O728" i="24"/>
  <c r="L597" i="24"/>
  <c r="O597" i="24"/>
  <c r="P597" i="24"/>
  <c r="Q597" i="24"/>
  <c r="K597" i="24"/>
  <c r="P590" i="24"/>
  <c r="O590" i="24"/>
  <c r="L590" i="24"/>
  <c r="K590" i="24"/>
  <c r="Q590" i="24"/>
  <c r="Q509" i="24"/>
  <c r="O509" i="24"/>
  <c r="P509" i="24"/>
  <c r="L509" i="24"/>
  <c r="K509" i="24"/>
  <c r="K481" i="24"/>
  <c r="L481" i="24"/>
  <c r="O481" i="24"/>
  <c r="P481" i="24"/>
  <c r="Q481" i="24"/>
  <c r="O478" i="24"/>
  <c r="Q478" i="24"/>
  <c r="P478" i="24"/>
  <c r="K478" i="24"/>
  <c r="L478" i="24"/>
  <c r="L471" i="24"/>
  <c r="K471" i="24"/>
  <c r="Q471" i="24"/>
  <c r="P471" i="24"/>
  <c r="O471" i="24"/>
  <c r="O491" i="24"/>
  <c r="Q491" i="24"/>
  <c r="P491" i="24"/>
  <c r="K491" i="24"/>
  <c r="L491" i="24"/>
  <c r="K480" i="24"/>
  <c r="L480" i="24"/>
  <c r="O480" i="24"/>
  <c r="Q480" i="24"/>
  <c r="P480" i="24"/>
  <c r="Q616" i="24"/>
  <c r="O616" i="24"/>
  <c r="L616" i="24"/>
  <c r="P616" i="24"/>
  <c r="K616" i="24"/>
  <c r="L485" i="24"/>
  <c r="P485" i="24"/>
  <c r="O485" i="24"/>
  <c r="Q485" i="24"/>
  <c r="K485" i="24"/>
  <c r="O483" i="24"/>
  <c r="K483" i="24"/>
  <c r="L483" i="24"/>
  <c r="P483" i="24"/>
  <c r="Q483" i="24"/>
  <c r="P106" i="24"/>
  <c r="O106" i="24"/>
  <c r="L106" i="24"/>
  <c r="Q106" i="24"/>
  <c r="K106" i="24"/>
  <c r="Q52" i="24"/>
  <c r="P52" i="24"/>
  <c r="O52" i="24"/>
  <c r="K52" i="24"/>
  <c r="L52" i="24"/>
  <c r="O579" i="24"/>
  <c r="Q579" i="24"/>
  <c r="P579" i="24"/>
  <c r="K579" i="24"/>
  <c r="L579" i="24"/>
  <c r="L334" i="24"/>
  <c r="P334" i="24"/>
  <c r="K334" i="24"/>
  <c r="O334" i="24"/>
  <c r="Q334" i="24"/>
  <c r="L583" i="24"/>
  <c r="O583" i="24"/>
  <c r="Q583" i="24"/>
  <c r="K583" i="24"/>
  <c r="P583" i="24"/>
  <c r="Q470" i="24"/>
  <c r="P470" i="24"/>
  <c r="O470" i="24"/>
  <c r="L470" i="24"/>
  <c r="K470" i="24"/>
  <c r="O498" i="24"/>
  <c r="P498" i="24"/>
  <c r="Q498" i="24"/>
  <c r="L498" i="24"/>
  <c r="K498" i="24"/>
  <c r="L600" i="24"/>
  <c r="P600" i="24"/>
  <c r="O600" i="24"/>
  <c r="Q600" i="24"/>
  <c r="K600" i="24"/>
  <c r="L510" i="24"/>
  <c r="O510" i="24"/>
  <c r="P510" i="24"/>
  <c r="K510" i="24"/>
  <c r="Q510" i="24"/>
  <c r="L505" i="24"/>
  <c r="K505" i="24"/>
  <c r="P505" i="24"/>
  <c r="Q505" i="24"/>
  <c r="O505" i="24"/>
  <c r="L972" i="24"/>
  <c r="K972" i="24"/>
  <c r="O972" i="24"/>
  <c r="Q972" i="24"/>
  <c r="P972" i="24"/>
  <c r="Q940" i="24"/>
  <c r="L940" i="24"/>
  <c r="O940" i="24"/>
  <c r="P940" i="24"/>
  <c r="K940" i="24"/>
  <c r="L474" i="24"/>
  <c r="Q474" i="24"/>
  <c r="P474" i="24"/>
  <c r="O474" i="24"/>
  <c r="K474" i="24"/>
  <c r="Q231" i="24"/>
  <c r="L231" i="24"/>
  <c r="P231" i="24"/>
  <c r="O231" i="24"/>
  <c r="K231" i="24"/>
  <c r="K605" i="24"/>
  <c r="Q605" i="24"/>
  <c r="P605" i="24"/>
  <c r="O605" i="24"/>
  <c r="L605" i="24"/>
  <c r="L584" i="24"/>
  <c r="K584" i="24"/>
  <c r="Q584" i="24"/>
  <c r="P584" i="24"/>
  <c r="O584" i="24"/>
  <c r="P230" i="24"/>
  <c r="O230" i="24"/>
  <c r="L230" i="24"/>
  <c r="Q230" i="24"/>
  <c r="K230" i="24"/>
  <c r="Q698" i="24"/>
  <c r="O698" i="24"/>
  <c r="K698" i="24"/>
  <c r="P698" i="24"/>
  <c r="L698" i="24"/>
  <c r="L612" i="24"/>
  <c r="O612" i="24"/>
  <c r="Q612" i="24"/>
  <c r="K612" i="24"/>
  <c r="P612" i="24"/>
  <c r="Q606" i="24"/>
  <c r="O606" i="24"/>
  <c r="K606" i="24"/>
  <c r="L606" i="24"/>
  <c r="P606" i="24"/>
  <c r="Q867" i="24"/>
  <c r="K867" i="24"/>
  <c r="L867" i="24"/>
  <c r="O867" i="24"/>
  <c r="P867" i="24"/>
  <c r="L916" i="24"/>
  <c r="O916" i="24"/>
  <c r="P916" i="24"/>
  <c r="Q916" i="24"/>
  <c r="K916" i="24"/>
  <c r="L910" i="24"/>
  <c r="P910" i="24"/>
  <c r="K910" i="24"/>
  <c r="Q910" i="24"/>
  <c r="O910" i="24"/>
  <c r="P685" i="24"/>
  <c r="O685" i="24"/>
  <c r="L685" i="24"/>
  <c r="K685" i="24"/>
  <c r="Q685" i="24"/>
  <c r="O237" i="24"/>
  <c r="Q237" i="24"/>
  <c r="L237" i="24"/>
  <c r="P237" i="24"/>
  <c r="K237" i="24"/>
  <c r="L608" i="24"/>
  <c r="K608" i="24"/>
  <c r="Q608" i="24"/>
  <c r="P608" i="24"/>
  <c r="O608" i="24"/>
  <c r="P594" i="24"/>
  <c r="K594" i="24"/>
  <c r="L594" i="24"/>
  <c r="O594" i="24"/>
  <c r="Q594" i="24"/>
  <c r="L697" i="24"/>
  <c r="Q697" i="24"/>
  <c r="P697" i="24"/>
  <c r="K697" i="24"/>
  <c r="O697" i="24"/>
  <c r="K609" i="24"/>
  <c r="L609" i="24"/>
  <c r="O609" i="24"/>
  <c r="P609" i="24"/>
  <c r="Q609" i="24"/>
  <c r="P601" i="24"/>
  <c r="K601" i="24"/>
  <c r="O601" i="24"/>
  <c r="Q601" i="24"/>
  <c r="L601" i="24"/>
  <c r="K588" i="24"/>
  <c r="P588" i="24"/>
  <c r="Q588" i="24"/>
  <c r="L588" i="24"/>
  <c r="O588" i="24"/>
  <c r="O586" i="24"/>
  <c r="P586" i="24"/>
  <c r="Q586" i="24"/>
  <c r="K586" i="24"/>
  <c r="L586" i="24"/>
  <c r="L499" i="24"/>
  <c r="K499" i="24"/>
  <c r="O499" i="24"/>
  <c r="P499" i="24"/>
  <c r="Q499" i="24"/>
  <c r="Q496" i="24"/>
  <c r="L496" i="24"/>
  <c r="K496" i="24"/>
  <c r="P496" i="24"/>
  <c r="O496" i="24"/>
  <c r="K493" i="24"/>
  <c r="L493" i="24"/>
  <c r="Q493" i="24"/>
  <c r="O493" i="24"/>
  <c r="P493" i="24"/>
  <c r="Q490" i="24"/>
  <c r="P490" i="24"/>
  <c r="O490" i="24"/>
  <c r="L490" i="24"/>
  <c r="K490" i="24"/>
  <c r="O486" i="24"/>
  <c r="K486" i="24"/>
  <c r="P486" i="24"/>
  <c r="L486" i="24"/>
  <c r="Q486" i="24"/>
  <c r="K473" i="24"/>
  <c r="L473" i="24"/>
  <c r="O473" i="24"/>
  <c r="P473" i="24"/>
  <c r="Q473" i="24"/>
  <c r="K822" i="24"/>
  <c r="L822" i="24"/>
  <c r="P822" i="24"/>
  <c r="Q822" i="24"/>
  <c r="O822" i="24"/>
  <c r="L703" i="24"/>
  <c r="K703" i="24"/>
  <c r="P703" i="24"/>
  <c r="O703" i="24"/>
  <c r="Q703" i="24"/>
  <c r="K807" i="24"/>
  <c r="P807" i="24"/>
  <c r="Q807" i="24"/>
  <c r="O807" i="24"/>
  <c r="L807" i="24"/>
  <c r="K813" i="24"/>
  <c r="L813" i="24"/>
  <c r="O813" i="24"/>
  <c r="P813" i="24"/>
  <c r="Q813" i="24"/>
  <c r="Q925" i="24"/>
  <c r="P925" i="24"/>
  <c r="K925" i="24"/>
  <c r="L925" i="24"/>
  <c r="O925" i="24"/>
  <c r="L920" i="24"/>
  <c r="K920" i="24"/>
  <c r="O920" i="24"/>
  <c r="P920" i="24"/>
  <c r="Q920" i="24"/>
  <c r="P823" i="24"/>
  <c r="L823" i="24"/>
  <c r="O823" i="24"/>
  <c r="K823" i="24"/>
  <c r="Q823" i="24"/>
  <c r="L918" i="24"/>
  <c r="K918" i="24"/>
  <c r="P918" i="24"/>
  <c r="O918" i="24"/>
  <c r="Q918" i="24"/>
  <c r="Q900" i="24"/>
  <c r="L900" i="24"/>
  <c r="O900" i="24"/>
  <c r="P900" i="24"/>
  <c r="K900" i="24"/>
  <c r="O891" i="24"/>
  <c r="Q891" i="24"/>
  <c r="L891" i="24"/>
  <c r="K891" i="24"/>
  <c r="P891" i="24"/>
  <c r="L803" i="24"/>
  <c r="K803" i="24"/>
  <c r="Q803" i="24"/>
  <c r="P803" i="24"/>
  <c r="O803" i="24"/>
  <c r="K379" i="24"/>
  <c r="L379" i="24"/>
  <c r="O379" i="24"/>
  <c r="Q379" i="24"/>
  <c r="P379" i="24"/>
  <c r="P222" i="24"/>
  <c r="O222" i="24"/>
  <c r="K222" i="24"/>
  <c r="Q222" i="24"/>
  <c r="L222" i="24"/>
  <c r="P152" i="24"/>
  <c r="K152" i="24"/>
  <c r="L152" i="24"/>
  <c r="O152" i="24"/>
  <c r="Q152" i="24"/>
  <c r="K44" i="24"/>
  <c r="L44" i="24"/>
  <c r="Q44" i="24"/>
  <c r="P44" i="24"/>
  <c r="O44" i="24"/>
  <c r="O41" i="24"/>
  <c r="P41" i="24"/>
  <c r="Q41" i="24"/>
  <c r="K41" i="24"/>
  <c r="L41" i="24"/>
  <c r="L27" i="24"/>
  <c r="K27" i="24"/>
  <c r="O27" i="24"/>
  <c r="P27" i="24"/>
  <c r="Q27" i="24"/>
  <c r="O942" i="24"/>
  <c r="Q942" i="24"/>
  <c r="L942" i="24"/>
  <c r="K942" i="24"/>
  <c r="P942" i="24"/>
  <c r="L969" i="24"/>
  <c r="O969" i="24"/>
  <c r="P969" i="24"/>
  <c r="Q969" i="24"/>
  <c r="K969" i="24"/>
  <c r="K815" i="24"/>
  <c r="L815" i="24"/>
  <c r="Q815" i="24"/>
  <c r="P815" i="24"/>
  <c r="O815" i="24"/>
  <c r="K834" i="24"/>
  <c r="Q834" i="24"/>
  <c r="P834" i="24"/>
  <c r="O834" i="24"/>
  <c r="L834" i="24"/>
  <c r="P234" i="24"/>
  <c r="O234" i="24"/>
  <c r="L234" i="24"/>
  <c r="Q234" i="24"/>
  <c r="K234" i="24"/>
  <c r="K323" i="24"/>
  <c r="O323" i="24"/>
  <c r="L323" i="24"/>
  <c r="P323" i="24"/>
  <c r="Q323" i="24"/>
  <c r="P465" i="24"/>
  <c r="O465" i="24"/>
  <c r="Q465" i="24"/>
  <c r="K465" i="24"/>
  <c r="L465" i="24"/>
  <c r="O367" i="24"/>
  <c r="L367" i="24"/>
  <c r="K367" i="24"/>
  <c r="Q367" i="24"/>
  <c r="P367" i="24"/>
  <c r="L340" i="24"/>
  <c r="P340" i="24"/>
  <c r="O340" i="24"/>
  <c r="K340" i="24"/>
  <c r="Q340" i="24"/>
  <c r="Q890" i="24"/>
  <c r="P890" i="24"/>
  <c r="O890" i="24"/>
  <c r="K890" i="24"/>
  <c r="L890" i="24"/>
  <c r="K963" i="24"/>
  <c r="Q963" i="24"/>
  <c r="P963" i="24"/>
  <c r="O963" i="24"/>
  <c r="L963" i="24"/>
  <c r="O938" i="24"/>
  <c r="K938" i="24"/>
  <c r="L938" i="24"/>
  <c r="P938" i="24"/>
  <c r="Q938" i="24"/>
  <c r="Q814" i="24"/>
  <c r="P814" i="24"/>
  <c r="O814" i="24"/>
  <c r="L814" i="24"/>
  <c r="K814" i="24"/>
  <c r="K796" i="24"/>
  <c r="Q796" i="24"/>
  <c r="P796" i="24"/>
  <c r="O796" i="24"/>
  <c r="L796" i="24"/>
  <c r="L76" i="24"/>
  <c r="Q76" i="24"/>
  <c r="O76" i="24"/>
  <c r="K76" i="24"/>
  <c r="P76" i="24"/>
  <c r="K591" i="24"/>
  <c r="L591" i="24"/>
  <c r="O591" i="24"/>
  <c r="P591" i="24"/>
  <c r="Q591" i="24"/>
  <c r="Q587" i="24"/>
  <c r="P587" i="24"/>
  <c r="O587" i="24"/>
  <c r="L587" i="24"/>
  <c r="K587" i="24"/>
  <c r="L673" i="24"/>
  <c r="P673" i="24"/>
  <c r="K673" i="24"/>
  <c r="Q673" i="24"/>
  <c r="O673" i="24"/>
  <c r="O58" i="24"/>
  <c r="K58" i="24"/>
  <c r="L58" i="24"/>
  <c r="P58" i="24"/>
  <c r="Q58" i="24"/>
  <c r="K611" i="24"/>
  <c r="L611" i="24"/>
  <c r="Q611" i="24"/>
  <c r="P611" i="24"/>
  <c r="O611" i="24"/>
  <c r="P795" i="24"/>
  <c r="Q795" i="24"/>
  <c r="L795" i="24"/>
  <c r="K795" i="24"/>
  <c r="O795" i="24"/>
  <c r="K163" i="24"/>
  <c r="O163" i="24"/>
  <c r="L163" i="24"/>
  <c r="Q163" i="24"/>
  <c r="P163" i="24"/>
  <c r="P596" i="24"/>
  <c r="O596" i="24"/>
  <c r="L596" i="24"/>
  <c r="K596" i="24"/>
  <c r="Q596" i="24"/>
  <c r="Q589" i="24"/>
  <c r="P589" i="24"/>
  <c r="O589" i="24"/>
  <c r="K589" i="24"/>
  <c r="L589" i="24"/>
  <c r="O417" i="24"/>
  <c r="K417" i="24"/>
  <c r="L417" i="24"/>
  <c r="Q417" i="24"/>
  <c r="P417" i="24"/>
  <c r="P406" i="24"/>
  <c r="K406" i="24"/>
  <c r="Q406" i="24"/>
  <c r="O406" i="24"/>
  <c r="L406" i="24"/>
  <c r="K401" i="24"/>
  <c r="L401" i="24"/>
  <c r="P401" i="24"/>
  <c r="Q401" i="24"/>
  <c r="O401" i="24"/>
  <c r="K396" i="24"/>
  <c r="P396" i="24"/>
  <c r="L396" i="24"/>
  <c r="O396" i="24"/>
  <c r="Q396" i="24"/>
  <c r="P361" i="24"/>
  <c r="O361" i="24"/>
  <c r="L361" i="24"/>
  <c r="K361" i="24"/>
  <c r="Q361" i="24"/>
  <c r="L40" i="24"/>
  <c r="K40" i="24"/>
  <c r="Q40" i="24"/>
  <c r="O40" i="24"/>
  <c r="P40" i="24"/>
  <c r="P24" i="24"/>
  <c r="Q24" i="24"/>
  <c r="K24" i="24"/>
  <c r="L24" i="24"/>
  <c r="O24" i="24"/>
  <c r="O339" i="24"/>
  <c r="K339" i="24"/>
  <c r="P339" i="24"/>
  <c r="L339" i="24"/>
  <c r="Q339" i="24"/>
  <c r="K950" i="24"/>
  <c r="Q950" i="24"/>
  <c r="O950" i="24"/>
  <c r="L950" i="24"/>
  <c r="P950" i="24"/>
  <c r="P690" i="24"/>
  <c r="O690" i="24"/>
  <c r="K690" i="24"/>
  <c r="L690" i="24"/>
  <c r="Q690" i="24"/>
  <c r="O677" i="24"/>
  <c r="Q677" i="24"/>
  <c r="L677" i="24"/>
  <c r="K677" i="24"/>
  <c r="P677" i="24"/>
  <c r="Q952" i="24"/>
  <c r="K952" i="24"/>
  <c r="L952" i="24"/>
  <c r="O952" i="24"/>
  <c r="P952" i="24"/>
  <c r="K937" i="24"/>
  <c r="P937" i="24"/>
  <c r="Q937" i="24"/>
  <c r="L937" i="24"/>
  <c r="O937" i="24"/>
  <c r="P399" i="24"/>
  <c r="Q399" i="24"/>
  <c r="K399" i="24"/>
  <c r="O399" i="24"/>
  <c r="L399" i="24"/>
  <c r="K711" i="24"/>
  <c r="Q711" i="24"/>
  <c r="O711" i="24"/>
  <c r="L711" i="24"/>
  <c r="P711" i="24"/>
  <c r="P939" i="24"/>
  <c r="K939" i="24"/>
  <c r="L939" i="24"/>
  <c r="O939" i="24"/>
  <c r="Q939" i="24"/>
  <c r="L358" i="24"/>
  <c r="O358" i="24"/>
  <c r="K358" i="24"/>
  <c r="P358" i="24"/>
  <c r="Q358" i="24"/>
  <c r="K725" i="24"/>
  <c r="L725" i="24"/>
  <c r="O725" i="24"/>
  <c r="Q725" i="24"/>
  <c r="P725" i="24"/>
  <c r="P675" i="24"/>
  <c r="O675" i="24"/>
  <c r="L675" i="24"/>
  <c r="K675" i="24"/>
  <c r="Q675" i="24"/>
  <c r="Q552" i="24"/>
  <c r="P552" i="24"/>
  <c r="L552" i="24"/>
  <c r="K552" i="24"/>
  <c r="O552" i="24"/>
  <c r="L487" i="24"/>
  <c r="K487" i="24"/>
  <c r="Q487" i="24"/>
  <c r="P487" i="24"/>
  <c r="O487" i="24"/>
  <c r="O484" i="24"/>
  <c r="Q484" i="24"/>
  <c r="P484" i="24"/>
  <c r="L484" i="24"/>
  <c r="K484" i="24"/>
  <c r="O482" i="24"/>
  <c r="Q482" i="24"/>
  <c r="P482" i="24"/>
  <c r="K482" i="24"/>
  <c r="L482" i="24"/>
  <c r="K476" i="24"/>
  <c r="Q476" i="24"/>
  <c r="L476" i="24"/>
  <c r="P476" i="24"/>
  <c r="O476" i="24"/>
  <c r="P416" i="24"/>
  <c r="O416" i="24"/>
  <c r="K416" i="24"/>
  <c r="Q416" i="24"/>
  <c r="L416" i="24"/>
  <c r="K405" i="24"/>
  <c r="O405" i="24"/>
  <c r="P405" i="24"/>
  <c r="L405" i="24"/>
  <c r="Q405" i="24"/>
  <c r="O393" i="24"/>
  <c r="K393" i="24"/>
  <c r="Q393" i="24"/>
  <c r="P393" i="24"/>
  <c r="L393" i="24"/>
  <c r="K377" i="24"/>
  <c r="L377" i="24"/>
  <c r="O377" i="24"/>
  <c r="P377" i="24"/>
  <c r="Q377" i="24"/>
  <c r="K574" i="24"/>
  <c r="P574" i="24"/>
  <c r="O574" i="24"/>
  <c r="L574" i="24"/>
  <c r="Q574" i="24"/>
  <c r="O540" i="24"/>
  <c r="P540" i="24"/>
  <c r="Q540" i="24"/>
  <c r="K540" i="24"/>
  <c r="L540" i="24"/>
  <c r="Q523" i="24"/>
  <c r="P523" i="24"/>
  <c r="O523" i="24"/>
  <c r="L523" i="24"/>
  <c r="K523" i="24"/>
  <c r="K511" i="24"/>
  <c r="P511" i="24"/>
  <c r="Q511" i="24"/>
  <c r="L511" i="24"/>
  <c r="O511" i="24"/>
  <c r="P497" i="24"/>
  <c r="Q497" i="24"/>
  <c r="K497" i="24"/>
  <c r="O497" i="24"/>
  <c r="L497" i="24"/>
  <c r="Q415" i="24"/>
  <c r="O415" i="24"/>
  <c r="K415" i="24"/>
  <c r="L415" i="24"/>
  <c r="P415" i="24"/>
  <c r="Q411" i="24"/>
  <c r="O411" i="24"/>
  <c r="L411" i="24"/>
  <c r="K411" i="24"/>
  <c r="P411" i="24"/>
  <c r="Q392" i="24"/>
  <c r="L392" i="24"/>
  <c r="O392" i="24"/>
  <c r="P392" i="24"/>
  <c r="K392" i="24"/>
  <c r="O382" i="24"/>
  <c r="L382" i="24"/>
  <c r="K382" i="24"/>
  <c r="Q382" i="24"/>
  <c r="P382" i="24"/>
  <c r="O353" i="24"/>
  <c r="K353" i="24"/>
  <c r="P353" i="24"/>
  <c r="L353" i="24"/>
  <c r="Q353" i="24"/>
  <c r="L400" i="24"/>
  <c r="K400" i="24"/>
  <c r="P400" i="24"/>
  <c r="O400" i="24"/>
  <c r="Q400" i="24"/>
  <c r="O21" i="24"/>
  <c r="P21" i="24"/>
  <c r="Q21" i="24"/>
  <c r="K21" i="24"/>
  <c r="L21" i="24"/>
  <c r="K18" i="24"/>
  <c r="L18" i="24"/>
  <c r="O18" i="24"/>
  <c r="P18" i="24"/>
  <c r="Q18" i="24"/>
  <c r="L17" i="24"/>
  <c r="K17" i="24"/>
  <c r="O17" i="24"/>
  <c r="P17" i="24"/>
  <c r="Q17" i="24"/>
  <c r="O13" i="24"/>
  <c r="P13" i="24"/>
  <c r="Q13" i="24"/>
  <c r="L13" i="24"/>
  <c r="K13" i="24"/>
  <c r="L9" i="24"/>
  <c r="K9" i="24"/>
  <c r="Q9" i="24"/>
  <c r="P9" i="24"/>
  <c r="O9" i="24"/>
  <c r="O4" i="24"/>
  <c r="P4" i="24"/>
  <c r="Q4" i="24"/>
  <c r="K4" i="24"/>
  <c r="L4" i="24"/>
  <c r="K903" i="24"/>
  <c r="P903" i="24"/>
  <c r="O903" i="24"/>
  <c r="Q903" i="24"/>
  <c r="L903" i="24"/>
  <c r="O882" i="24"/>
  <c r="Q882" i="24"/>
  <c r="P882" i="24"/>
  <c r="L882" i="24"/>
  <c r="K882" i="24"/>
  <c r="K805" i="24"/>
  <c r="O805" i="24"/>
  <c r="P805" i="24"/>
  <c r="Q805" i="24"/>
  <c r="L805" i="24"/>
  <c r="K797" i="24"/>
  <c r="Q797" i="24"/>
  <c r="P797" i="24"/>
  <c r="O797" i="24"/>
  <c r="L797" i="24"/>
  <c r="O740" i="24"/>
  <c r="Q740" i="24"/>
  <c r="K740" i="24"/>
  <c r="L740" i="24"/>
  <c r="P740" i="24"/>
  <c r="Q738" i="24"/>
  <c r="P738" i="24"/>
  <c r="K738" i="24"/>
  <c r="L738" i="24"/>
  <c r="O738" i="24"/>
  <c r="L724" i="24"/>
  <c r="K724" i="24"/>
  <c r="Q724" i="24"/>
  <c r="P724" i="24"/>
  <c r="O724" i="24"/>
  <c r="Q688" i="24"/>
  <c r="O688" i="24"/>
  <c r="L688" i="24"/>
  <c r="K688" i="24"/>
  <c r="P688" i="24"/>
  <c r="Q671" i="24"/>
  <c r="L671" i="24"/>
  <c r="O671" i="24"/>
  <c r="P671" i="24"/>
  <c r="K671" i="24"/>
  <c r="L668" i="24"/>
  <c r="Q668" i="24"/>
  <c r="K668" i="24"/>
  <c r="P668" i="24"/>
  <c r="O668" i="24"/>
  <c r="P346" i="24"/>
  <c r="K346" i="24"/>
  <c r="O346" i="24"/>
  <c r="Q346" i="24"/>
  <c r="L346" i="24"/>
  <c r="O936" i="24"/>
  <c r="P936" i="24"/>
  <c r="Q936" i="24"/>
  <c r="K936" i="24"/>
  <c r="L936" i="24"/>
  <c r="L806" i="24"/>
  <c r="K806" i="24"/>
  <c r="O806" i="24"/>
  <c r="P806" i="24"/>
  <c r="Q806" i="24"/>
  <c r="O734" i="24"/>
  <c r="L734" i="24"/>
  <c r="K734" i="24"/>
  <c r="Q734" i="24"/>
  <c r="P734" i="24"/>
  <c r="K721" i="24"/>
  <c r="O721" i="24"/>
  <c r="P721" i="24"/>
  <c r="L721" i="24"/>
  <c r="Q721" i="24"/>
  <c r="Q716" i="24"/>
  <c r="P716" i="24"/>
  <c r="L716" i="24"/>
  <c r="O716" i="24"/>
  <c r="K716" i="24"/>
  <c r="Q403" i="24"/>
  <c r="O403" i="24"/>
  <c r="L403" i="24"/>
  <c r="P403" i="24"/>
  <c r="K403" i="24"/>
  <c r="O359" i="24"/>
  <c r="L359" i="24"/>
  <c r="Q359" i="24"/>
  <c r="K359" i="24"/>
  <c r="P359" i="24"/>
  <c r="P695" i="24"/>
  <c r="K695" i="24"/>
  <c r="Q695" i="24"/>
  <c r="O695" i="24"/>
  <c r="L695" i="24"/>
  <c r="P737" i="24"/>
  <c r="Q737" i="24"/>
  <c r="K737" i="24"/>
  <c r="L737" i="24"/>
  <c r="O737" i="24"/>
  <c r="K678" i="24"/>
  <c r="L678" i="24"/>
  <c r="Q678" i="24"/>
  <c r="P678" i="24"/>
  <c r="O678" i="24"/>
  <c r="P692" i="24"/>
  <c r="K692" i="24"/>
  <c r="L692" i="24"/>
  <c r="Q692" i="24"/>
  <c r="O692" i="24"/>
  <c r="Q930" i="24"/>
  <c r="K930" i="24"/>
  <c r="P930" i="24"/>
  <c r="O930" i="24"/>
  <c r="L930" i="24"/>
  <c r="L785" i="24"/>
  <c r="K785" i="24"/>
  <c r="Q785" i="24"/>
  <c r="O785" i="24"/>
  <c r="P785" i="24"/>
  <c r="O148" i="24"/>
  <c r="Q148" i="24"/>
  <c r="P148" i="24"/>
  <c r="K148" i="24"/>
  <c r="L148" i="24"/>
  <c r="O267" i="24"/>
  <c r="Q267" i="24"/>
  <c r="L267" i="24"/>
  <c r="P267" i="24"/>
  <c r="K267" i="24"/>
  <c r="K325" i="24"/>
  <c r="L325" i="24"/>
  <c r="O325" i="24"/>
  <c r="Q325" i="24"/>
  <c r="P325" i="24"/>
  <c r="L324" i="24"/>
  <c r="Q324" i="24"/>
  <c r="O324" i="24"/>
  <c r="P324" i="24"/>
  <c r="K324" i="24"/>
  <c r="P322" i="24"/>
  <c r="K322" i="24"/>
  <c r="L322" i="24"/>
  <c r="O322" i="24"/>
  <c r="Q322" i="24"/>
  <c r="Q282" i="24"/>
  <c r="P282" i="24"/>
  <c r="O282" i="24"/>
  <c r="K282" i="24"/>
  <c r="L282" i="24"/>
  <c r="O79" i="24"/>
  <c r="K79" i="24"/>
  <c r="L79" i="24"/>
  <c r="Q79" i="24"/>
  <c r="P79" i="24"/>
  <c r="O34" i="24"/>
  <c r="K34" i="24"/>
  <c r="L34" i="24"/>
  <c r="P34" i="24"/>
  <c r="Q34" i="24"/>
  <c r="K26" i="24"/>
  <c r="L26" i="24"/>
  <c r="O26" i="24"/>
  <c r="P26" i="24"/>
  <c r="Q26" i="24"/>
  <c r="K12" i="24"/>
  <c r="L12" i="24"/>
  <c r="O12" i="24"/>
  <c r="P12" i="24"/>
  <c r="Q12" i="24"/>
  <c r="P344" i="24"/>
  <c r="L344" i="24"/>
  <c r="K344" i="24"/>
  <c r="Q344" i="24"/>
  <c r="O344" i="24"/>
  <c r="L857" i="24"/>
  <c r="K857" i="24"/>
  <c r="Q857" i="24"/>
  <c r="P857" i="24"/>
  <c r="O857" i="24"/>
  <c r="Q968" i="24"/>
  <c r="P968" i="24"/>
  <c r="O968" i="24"/>
  <c r="L968" i="24"/>
  <c r="K968" i="24"/>
  <c r="O862" i="24"/>
  <c r="L862" i="24"/>
  <c r="Q862" i="24"/>
  <c r="K862" i="24"/>
  <c r="P862" i="24"/>
  <c r="P858" i="24"/>
  <c r="Q858" i="24"/>
  <c r="O858" i="24"/>
  <c r="L858" i="24"/>
  <c r="K858" i="24"/>
  <c r="K855" i="24"/>
  <c r="L855" i="24"/>
  <c r="O855" i="24"/>
  <c r="P855" i="24"/>
  <c r="Q855" i="24"/>
  <c r="P839" i="24"/>
  <c r="Q839" i="24"/>
  <c r="K839" i="24"/>
  <c r="L839" i="24"/>
  <c r="O839" i="24"/>
  <c r="K836" i="24"/>
  <c r="O836" i="24"/>
  <c r="P836" i="24"/>
  <c r="Q836" i="24"/>
  <c r="L836" i="24"/>
  <c r="L824" i="24"/>
  <c r="K824" i="24"/>
  <c r="O824" i="24"/>
  <c r="P824" i="24"/>
  <c r="Q824" i="24"/>
  <c r="K667" i="24"/>
  <c r="P667" i="24"/>
  <c r="L667" i="24"/>
  <c r="Q667" i="24"/>
  <c r="O667" i="24"/>
  <c r="Q418" i="24"/>
  <c r="O418" i="24"/>
  <c r="L418" i="24"/>
  <c r="K418" i="24"/>
  <c r="P418" i="24"/>
  <c r="Q410" i="24"/>
  <c r="L410" i="24"/>
  <c r="O410" i="24"/>
  <c r="P410" i="24"/>
  <c r="K410" i="24"/>
  <c r="L395" i="24"/>
  <c r="P395" i="24"/>
  <c r="Q395" i="24"/>
  <c r="O395" i="24"/>
  <c r="K395" i="24"/>
  <c r="O388" i="24"/>
  <c r="L388" i="24"/>
  <c r="P388" i="24"/>
  <c r="K388" i="24"/>
  <c r="Q388" i="24"/>
  <c r="K385" i="24"/>
  <c r="Q385" i="24"/>
  <c r="O385" i="24"/>
  <c r="L385" i="24"/>
  <c r="P385" i="24"/>
  <c r="O378" i="24"/>
  <c r="K378" i="24"/>
  <c r="L378" i="24"/>
  <c r="Q378" i="24"/>
  <c r="P378" i="24"/>
  <c r="Q368" i="24"/>
  <c r="O368" i="24"/>
  <c r="K368" i="24"/>
  <c r="L368" i="24"/>
  <c r="P368" i="24"/>
  <c r="L365" i="24"/>
  <c r="P365" i="24"/>
  <c r="O365" i="24"/>
  <c r="Q365" i="24"/>
  <c r="K365" i="24"/>
  <c r="K352" i="24"/>
  <c r="L352" i="24"/>
  <c r="P352" i="24"/>
  <c r="Q352" i="24"/>
  <c r="O352" i="24"/>
  <c r="K349" i="24"/>
  <c r="O349" i="24"/>
  <c r="Q349" i="24"/>
  <c r="L349" i="24"/>
  <c r="P349" i="24"/>
  <c r="O966" i="24"/>
  <c r="Q966" i="24"/>
  <c r="P966" i="24"/>
  <c r="K966" i="24"/>
  <c r="L966" i="24"/>
  <c r="L897" i="24"/>
  <c r="K897" i="24"/>
  <c r="O897" i="24"/>
  <c r="P897" i="24"/>
  <c r="Q897" i="24"/>
  <c r="O932" i="24"/>
  <c r="P932" i="24"/>
  <c r="Q932" i="24"/>
  <c r="L932" i="24"/>
  <c r="K932" i="24"/>
  <c r="K842" i="24"/>
  <c r="P842" i="24"/>
  <c r="L842" i="24"/>
  <c r="Q842" i="24"/>
  <c r="O842" i="24"/>
  <c r="P830" i="24"/>
  <c r="Q830" i="24"/>
  <c r="K830" i="24"/>
  <c r="L830" i="24"/>
  <c r="O830" i="24"/>
  <c r="Q883" i="24"/>
  <c r="O883" i="24"/>
  <c r="K883" i="24"/>
  <c r="P883" i="24"/>
  <c r="L883" i="24"/>
  <c r="O659" i="24"/>
  <c r="P659" i="24"/>
  <c r="K659" i="24"/>
  <c r="Q659" i="24"/>
  <c r="L659" i="24"/>
  <c r="K463" i="24"/>
  <c r="L463" i="24"/>
  <c r="Q463" i="24"/>
  <c r="O463" i="24"/>
  <c r="P463" i="24"/>
  <c r="Q846" i="24"/>
  <c r="P846" i="24"/>
  <c r="K846" i="24"/>
  <c r="L846" i="24"/>
  <c r="O846" i="24"/>
  <c r="O913" i="24"/>
  <c r="P913" i="24"/>
  <c r="Q913" i="24"/>
  <c r="K913" i="24"/>
  <c r="L913" i="24"/>
  <c r="O912" i="24"/>
  <c r="K912" i="24"/>
  <c r="L912" i="24"/>
  <c r="P912" i="24"/>
  <c r="Q912" i="24"/>
  <c r="O845" i="24"/>
  <c r="K845" i="24"/>
  <c r="L845" i="24"/>
  <c r="Q845" i="24"/>
  <c r="P845" i="24"/>
  <c r="P219" i="24"/>
  <c r="Q219" i="24"/>
  <c r="K219" i="24"/>
  <c r="L219" i="24"/>
  <c r="O219" i="24"/>
  <c r="P218" i="24"/>
  <c r="Q218" i="24"/>
  <c r="L218" i="24"/>
  <c r="K218" i="24"/>
  <c r="O218" i="24"/>
  <c r="Q213" i="24"/>
  <c r="K213" i="24"/>
  <c r="O213" i="24"/>
  <c r="P213" i="24"/>
  <c r="L213" i="24"/>
  <c r="Q211" i="24"/>
  <c r="O211" i="24"/>
  <c r="P211" i="24"/>
  <c r="L211" i="24"/>
  <c r="K211" i="24"/>
  <c r="L210" i="24"/>
  <c r="O210" i="24"/>
  <c r="P210" i="24"/>
  <c r="K210" i="24"/>
  <c r="Q210" i="24"/>
  <c r="L209" i="24"/>
  <c r="K209" i="24"/>
  <c r="O209" i="24"/>
  <c r="Q209" i="24"/>
  <c r="P209" i="24"/>
  <c r="O204" i="24"/>
  <c r="Q204" i="24"/>
  <c r="P204" i="24"/>
  <c r="K204" i="24"/>
  <c r="L204" i="24"/>
  <c r="O203" i="24"/>
  <c r="P203" i="24"/>
  <c r="L203" i="24"/>
  <c r="K203" i="24"/>
  <c r="Q203" i="24"/>
  <c r="O201" i="24"/>
  <c r="K201" i="24"/>
  <c r="Q201" i="24"/>
  <c r="L201" i="24"/>
  <c r="P201" i="24"/>
  <c r="K467" i="24"/>
  <c r="P467" i="24"/>
  <c r="L467" i="24"/>
  <c r="O467" i="24"/>
  <c r="Q467" i="24"/>
  <c r="Q466" i="24"/>
  <c r="O466" i="24"/>
  <c r="P466" i="24"/>
  <c r="L466" i="24"/>
  <c r="K466" i="24"/>
  <c r="K154" i="24"/>
  <c r="L154" i="24"/>
  <c r="Q154" i="24"/>
  <c r="P154" i="24"/>
  <c r="O154" i="24"/>
  <c r="P901" i="24"/>
  <c r="K901" i="24"/>
  <c r="L901" i="24"/>
  <c r="O901" i="24"/>
  <c r="Q901" i="24"/>
  <c r="L915" i="24"/>
  <c r="P915" i="24"/>
  <c r="O915" i="24"/>
  <c r="K915" i="24"/>
  <c r="Q915" i="24"/>
  <c r="P899" i="24"/>
  <c r="K899" i="24"/>
  <c r="O899" i="24"/>
  <c r="Q899" i="24"/>
  <c r="L899" i="24"/>
  <c r="P941" i="24"/>
  <c r="Q941" i="24"/>
  <c r="O941" i="24"/>
  <c r="L941" i="24"/>
  <c r="K941" i="24"/>
  <c r="L870" i="24"/>
  <c r="P870" i="24"/>
  <c r="K870" i="24"/>
  <c r="O870" i="24"/>
  <c r="Q870" i="24"/>
  <c r="P967" i="24"/>
  <c r="L967" i="24"/>
  <c r="K967" i="24"/>
  <c r="Q967" i="24"/>
  <c r="O967" i="24"/>
  <c r="O804" i="24"/>
  <c r="K804" i="24"/>
  <c r="L804" i="24"/>
  <c r="P804" i="24"/>
  <c r="Q804" i="24"/>
  <c r="K853" i="24"/>
  <c r="L853" i="24"/>
  <c r="O853" i="24"/>
  <c r="P853" i="24"/>
  <c r="Q853" i="24"/>
  <c r="Q935" i="24"/>
  <c r="P935" i="24"/>
  <c r="O935" i="24"/>
  <c r="L935" i="24"/>
  <c r="K935" i="24"/>
  <c r="O825" i="24"/>
  <c r="P825" i="24"/>
  <c r="Q825" i="24"/>
  <c r="K825" i="24"/>
  <c r="L825" i="24"/>
  <c r="P808" i="24"/>
  <c r="O808" i="24"/>
  <c r="L808" i="24"/>
  <c r="K808" i="24"/>
  <c r="Q808" i="24"/>
  <c r="L800" i="24"/>
  <c r="O800" i="24"/>
  <c r="P800" i="24"/>
  <c r="Q800" i="24"/>
  <c r="K800" i="24"/>
  <c r="K794" i="24"/>
  <c r="L794" i="24"/>
  <c r="P794" i="24"/>
  <c r="O794" i="24"/>
  <c r="Q794" i="24"/>
  <c r="Q580" i="24"/>
  <c r="P580" i="24"/>
  <c r="O580" i="24"/>
  <c r="L580" i="24"/>
  <c r="K580" i="24"/>
  <c r="L426" i="24"/>
  <c r="Q426" i="24"/>
  <c r="K426" i="24"/>
  <c r="P426" i="24"/>
  <c r="O426" i="24"/>
  <c r="K422" i="24"/>
  <c r="L422" i="24"/>
  <c r="Q422" i="24"/>
  <c r="P422" i="24"/>
  <c r="O422" i="24"/>
  <c r="K387" i="24"/>
  <c r="P387" i="24"/>
  <c r="Q387" i="24"/>
  <c r="O387" i="24"/>
  <c r="L387" i="24"/>
  <c r="Q350" i="24"/>
  <c r="L350" i="24"/>
  <c r="K350" i="24"/>
  <c r="O350" i="24"/>
  <c r="P350" i="24"/>
  <c r="K898" i="24"/>
  <c r="O898" i="24"/>
  <c r="P898" i="24"/>
  <c r="Q898" i="24"/>
  <c r="L898" i="24"/>
  <c r="O874" i="24"/>
  <c r="P874" i="24"/>
  <c r="Q874" i="24"/>
  <c r="K874" i="24"/>
  <c r="L874" i="24"/>
  <c r="L943" i="24"/>
  <c r="K943" i="24"/>
  <c r="O943" i="24"/>
  <c r="P943" i="24"/>
  <c r="Q943" i="24"/>
  <c r="O838" i="24"/>
  <c r="L838" i="24"/>
  <c r="K838" i="24"/>
  <c r="Q838" i="24"/>
  <c r="P838" i="24"/>
  <c r="L933" i="24"/>
  <c r="K933" i="24"/>
  <c r="O933" i="24"/>
  <c r="P933" i="24"/>
  <c r="Q933" i="24"/>
  <c r="Q876" i="24"/>
  <c r="O876" i="24"/>
  <c r="P876" i="24"/>
  <c r="L876" i="24"/>
  <c r="K876" i="24"/>
  <c r="K964" i="24"/>
  <c r="L964" i="24"/>
  <c r="O964" i="24"/>
  <c r="Q964" i="24"/>
  <c r="P964" i="24"/>
  <c r="Q860" i="24"/>
  <c r="P860" i="24"/>
  <c r="K860" i="24"/>
  <c r="L860" i="24"/>
  <c r="O860" i="24"/>
  <c r="P961" i="24"/>
  <c r="O961" i="24"/>
  <c r="Q961" i="24"/>
  <c r="K961" i="24"/>
  <c r="L961" i="24"/>
  <c r="L949" i="24"/>
  <c r="O949" i="24"/>
  <c r="P949" i="24"/>
  <c r="Q949" i="24"/>
  <c r="K949" i="24"/>
  <c r="O948" i="24"/>
  <c r="K948" i="24"/>
  <c r="L948" i="24"/>
  <c r="P948" i="24"/>
  <c r="Q948" i="24"/>
  <c r="K947" i="24"/>
  <c r="O947" i="24"/>
  <c r="P947" i="24"/>
  <c r="Q947" i="24"/>
  <c r="L947" i="24"/>
  <c r="L946" i="24"/>
  <c r="P946" i="24"/>
  <c r="O946" i="24"/>
  <c r="Q946" i="24"/>
  <c r="K946" i="24"/>
  <c r="O828" i="24"/>
  <c r="P828" i="24"/>
  <c r="Q828" i="24"/>
  <c r="L828" i="24"/>
  <c r="K828" i="24"/>
  <c r="L902" i="24"/>
  <c r="Q902" i="24"/>
  <c r="P902" i="24"/>
  <c r="O902" i="24"/>
  <c r="K902" i="24"/>
  <c r="O934" i="24"/>
  <c r="P934" i="24"/>
  <c r="Q934" i="24"/>
  <c r="K934" i="24"/>
  <c r="L934" i="24"/>
  <c r="K809" i="24"/>
  <c r="L809" i="24"/>
  <c r="Q809" i="24"/>
  <c r="P809" i="24"/>
  <c r="O809" i="24"/>
  <c r="L801" i="24"/>
  <c r="K801" i="24"/>
  <c r="Q801" i="24"/>
  <c r="O801" i="24"/>
  <c r="P801" i="24"/>
  <c r="P598" i="24"/>
  <c r="O598" i="24"/>
  <c r="L598" i="24"/>
  <c r="K598" i="24"/>
  <c r="Q598" i="24"/>
  <c r="P347" i="24"/>
  <c r="L347" i="24"/>
  <c r="Q347" i="24"/>
  <c r="K347" i="24"/>
  <c r="O347" i="24"/>
  <c r="L787" i="24"/>
  <c r="Q787" i="24"/>
  <c r="K787" i="24"/>
  <c r="P787" i="24"/>
  <c r="O787" i="24"/>
  <c r="L944" i="24"/>
  <c r="K944" i="24"/>
  <c r="O944" i="24"/>
  <c r="P944" i="24"/>
  <c r="Q944" i="24"/>
  <c r="O885" i="24"/>
  <c r="P885" i="24"/>
  <c r="L885" i="24"/>
  <c r="Q885" i="24"/>
  <c r="K885" i="24"/>
  <c r="O849" i="24"/>
  <c r="P849" i="24"/>
  <c r="K849" i="24"/>
  <c r="Q849" i="24"/>
  <c r="L849" i="24"/>
  <c r="O895" i="24"/>
  <c r="P895" i="24"/>
  <c r="Q895" i="24"/>
  <c r="L895" i="24"/>
  <c r="K895" i="24"/>
  <c r="P911" i="24"/>
  <c r="Q911" i="24"/>
  <c r="O911" i="24"/>
  <c r="L911" i="24"/>
  <c r="K911" i="24"/>
  <c r="K762" i="24"/>
  <c r="O762" i="24"/>
  <c r="P762" i="24"/>
  <c r="Q762" i="24"/>
  <c r="L762" i="24"/>
  <c r="K754" i="24"/>
  <c r="L754" i="24"/>
  <c r="O754" i="24"/>
  <c r="P754" i="24"/>
  <c r="Q754" i="24"/>
  <c r="P957" i="24"/>
  <c r="L957" i="24"/>
  <c r="K957" i="24"/>
  <c r="O957" i="24"/>
  <c r="Q957" i="24"/>
  <c r="K816" i="24"/>
  <c r="Q816" i="24"/>
  <c r="P816" i="24"/>
  <c r="L816" i="24"/>
  <c r="O816" i="24"/>
  <c r="Q757" i="24"/>
  <c r="O757" i="24"/>
  <c r="L757" i="24"/>
  <c r="K757" i="24"/>
  <c r="P757" i="24"/>
  <c r="Q756" i="24"/>
  <c r="P756" i="24"/>
  <c r="O756" i="24"/>
  <c r="L756" i="24"/>
  <c r="K756" i="24"/>
  <c r="O780" i="24"/>
  <c r="Q780" i="24"/>
  <c r="P780" i="24"/>
  <c r="K780" i="24"/>
  <c r="L780" i="24"/>
  <c r="L739" i="24"/>
  <c r="K739" i="24"/>
  <c r="P739" i="24"/>
  <c r="Q739" i="24"/>
  <c r="O739" i="24"/>
  <c r="P717" i="24"/>
  <c r="Q717" i="24"/>
  <c r="O717" i="24"/>
  <c r="K717" i="24"/>
  <c r="L717" i="24"/>
  <c r="Q704" i="24"/>
  <c r="L704" i="24"/>
  <c r="K704" i="24"/>
  <c r="P704" i="24"/>
  <c r="O704" i="24"/>
  <c r="K663" i="24"/>
  <c r="O663" i="24"/>
  <c r="Q663" i="24"/>
  <c r="P663" i="24"/>
  <c r="L663" i="24"/>
  <c r="L321" i="24"/>
  <c r="Q321" i="24"/>
  <c r="O321" i="24"/>
  <c r="P321" i="24"/>
  <c r="K321" i="24"/>
  <c r="Q320" i="24"/>
  <c r="P320" i="24"/>
  <c r="K320" i="24"/>
  <c r="L320" i="24"/>
  <c r="O320" i="24"/>
  <c r="Q319" i="24"/>
  <c r="O319" i="24"/>
  <c r="K319" i="24"/>
  <c r="L319" i="24"/>
  <c r="P319" i="24"/>
  <c r="L318" i="24"/>
  <c r="Q318" i="24"/>
  <c r="O318" i="24"/>
  <c r="K318" i="24"/>
  <c r="P318" i="24"/>
  <c r="O317" i="24"/>
  <c r="P317" i="24"/>
  <c r="L317" i="24"/>
  <c r="Q317" i="24"/>
  <c r="K317" i="24"/>
  <c r="O240" i="24"/>
  <c r="K240" i="24"/>
  <c r="P240" i="24"/>
  <c r="Q240" i="24"/>
  <c r="L240" i="24"/>
  <c r="L239" i="24"/>
  <c r="Q239" i="24"/>
  <c r="P239" i="24"/>
  <c r="K239" i="24"/>
  <c r="O239" i="24"/>
  <c r="O116" i="24"/>
  <c r="P116" i="24"/>
  <c r="Q116" i="24"/>
  <c r="L116" i="24"/>
  <c r="K116" i="24"/>
  <c r="K114" i="24"/>
  <c r="L114" i="24"/>
  <c r="O114" i="24"/>
  <c r="P114" i="24"/>
  <c r="Q114" i="24"/>
  <c r="K113" i="24"/>
  <c r="L113" i="24"/>
  <c r="O113" i="24"/>
  <c r="P113" i="24"/>
  <c r="Q113" i="24"/>
  <c r="L112" i="24"/>
  <c r="K112" i="24"/>
  <c r="O112" i="24"/>
  <c r="Q112" i="24"/>
  <c r="P112" i="24"/>
  <c r="K108" i="24"/>
  <c r="P108" i="24"/>
  <c r="L108" i="24"/>
  <c r="O108" i="24"/>
  <c r="Q108" i="24"/>
  <c r="O107" i="24"/>
  <c r="P107" i="24"/>
  <c r="L107" i="24"/>
  <c r="Q107" i="24"/>
  <c r="K107" i="24"/>
  <c r="P105" i="24"/>
  <c r="K105" i="24"/>
  <c r="L105" i="24"/>
  <c r="O105" i="24"/>
  <c r="Q105" i="24"/>
  <c r="O103" i="24"/>
  <c r="L103" i="24"/>
  <c r="P103" i="24"/>
  <c r="K103" i="24"/>
  <c r="Q103" i="24"/>
  <c r="K102" i="24"/>
  <c r="Q102" i="24"/>
  <c r="L102" i="24"/>
  <c r="P102" i="24"/>
  <c r="O102" i="24"/>
  <c r="Q101" i="24"/>
  <c r="P101" i="24"/>
  <c r="L101" i="24"/>
  <c r="O101" i="24"/>
  <c r="K101" i="24"/>
  <c r="K100" i="24"/>
  <c r="P100" i="24"/>
  <c r="Q100" i="24"/>
  <c r="L100" i="24"/>
  <c r="O100" i="24"/>
  <c r="P93" i="24"/>
  <c r="K93" i="24"/>
  <c r="O93" i="24"/>
  <c r="L93" i="24"/>
  <c r="Q93" i="24"/>
  <c r="L90" i="24"/>
  <c r="K90" i="24"/>
  <c r="Q90" i="24"/>
  <c r="O90" i="24"/>
  <c r="P90" i="24"/>
  <c r="O89" i="24"/>
  <c r="Q89" i="24"/>
  <c r="K89" i="24"/>
  <c r="P89" i="24"/>
  <c r="L89" i="24"/>
  <c r="K87" i="24"/>
  <c r="O87" i="24"/>
  <c r="L87" i="24"/>
  <c r="P87" i="24"/>
  <c r="Q87" i="24"/>
  <c r="K86" i="24"/>
  <c r="L86" i="24"/>
  <c r="Q86" i="24"/>
  <c r="P86" i="24"/>
  <c r="O86" i="24"/>
  <c r="P83" i="24"/>
  <c r="K83" i="24"/>
  <c r="L83" i="24"/>
  <c r="O83" i="24"/>
  <c r="Q83" i="24"/>
  <c r="K582" i="24"/>
  <c r="P582" i="24"/>
  <c r="O582" i="24"/>
  <c r="L582" i="24"/>
  <c r="Q582" i="24"/>
  <c r="K327" i="24"/>
  <c r="P327" i="24"/>
  <c r="O327" i="24"/>
  <c r="Q327" i="24"/>
  <c r="L327" i="24"/>
  <c r="L784" i="24"/>
  <c r="P784" i="24"/>
  <c r="O784" i="24"/>
  <c r="K784" i="24"/>
  <c r="Q784" i="24"/>
  <c r="Q951" i="24"/>
  <c r="P951" i="24"/>
  <c r="O951" i="24"/>
  <c r="L951" i="24"/>
  <c r="K951" i="24"/>
  <c r="Q956" i="24"/>
  <c r="P956" i="24"/>
  <c r="O956" i="24"/>
  <c r="L956" i="24"/>
  <c r="K956" i="24"/>
  <c r="K829" i="24"/>
  <c r="Q829" i="24"/>
  <c r="P829" i="24"/>
  <c r="O829" i="24"/>
  <c r="L829" i="24"/>
  <c r="O955" i="24"/>
  <c r="Q955" i="24"/>
  <c r="P955" i="24"/>
  <c r="K955" i="24"/>
  <c r="L955" i="24"/>
  <c r="K893" i="24"/>
  <c r="Q893" i="24"/>
  <c r="L893" i="24"/>
  <c r="O893" i="24"/>
  <c r="P893" i="24"/>
  <c r="P931" i="24"/>
  <c r="Q931" i="24"/>
  <c r="L931" i="24"/>
  <c r="O931" i="24"/>
  <c r="K931" i="24"/>
  <c r="K929" i="24"/>
  <c r="O929" i="24"/>
  <c r="Q929" i="24"/>
  <c r="P929" i="24"/>
  <c r="L929" i="24"/>
  <c r="Q928" i="24"/>
  <c r="P928" i="24"/>
  <c r="O928" i="24"/>
  <c r="K928" i="24"/>
  <c r="L928" i="24"/>
  <c r="O906" i="24"/>
  <c r="L906" i="24"/>
  <c r="P906" i="24"/>
  <c r="Q906" i="24"/>
  <c r="K906" i="24"/>
  <c r="O894" i="24"/>
  <c r="K894" i="24"/>
  <c r="Q894" i="24"/>
  <c r="P894" i="24"/>
  <c r="L894" i="24"/>
  <c r="L877" i="24"/>
  <c r="K877" i="24"/>
  <c r="Q877" i="24"/>
  <c r="O877" i="24"/>
  <c r="P877" i="24"/>
  <c r="O921" i="24"/>
  <c r="L921" i="24"/>
  <c r="P921" i="24"/>
  <c r="Q921" i="24"/>
  <c r="K921" i="24"/>
  <c r="O863" i="24"/>
  <c r="K863" i="24"/>
  <c r="P863" i="24"/>
  <c r="Q863" i="24"/>
  <c r="L863" i="24"/>
  <c r="P132" i="24"/>
  <c r="Q132" i="24"/>
  <c r="K132" i="24"/>
  <c r="L132" i="24"/>
  <c r="O132" i="24"/>
  <c r="K131" i="24"/>
  <c r="L131" i="24"/>
  <c r="O131" i="24"/>
  <c r="P131" i="24"/>
  <c r="Q131" i="24"/>
  <c r="O130" i="24"/>
  <c r="L130" i="24"/>
  <c r="K130" i="24"/>
  <c r="P130" i="24"/>
  <c r="Q130" i="24"/>
  <c r="K125" i="24"/>
  <c r="Q125" i="24"/>
  <c r="L125" i="24"/>
  <c r="P125" i="24"/>
  <c r="O125" i="24"/>
  <c r="Q118" i="24"/>
  <c r="K118" i="24"/>
  <c r="L118" i="24"/>
  <c r="P118" i="24"/>
  <c r="O118" i="24"/>
  <c r="L117" i="24"/>
  <c r="O117" i="24"/>
  <c r="K117" i="24"/>
  <c r="Q117" i="24"/>
  <c r="P117" i="24"/>
  <c r="K375" i="24"/>
  <c r="P375" i="24"/>
  <c r="Q375" i="24"/>
  <c r="O375" i="24"/>
  <c r="L375" i="24"/>
  <c r="Q374" i="24"/>
  <c r="K374" i="24"/>
  <c r="O374" i="24"/>
  <c r="L374" i="24"/>
  <c r="P374" i="24"/>
  <c r="K831" i="24"/>
  <c r="P831" i="24"/>
  <c r="O831" i="24"/>
  <c r="L831" i="24"/>
  <c r="Q831" i="24"/>
  <c r="K922" i="24"/>
  <c r="Q922" i="24"/>
  <c r="P922" i="24"/>
  <c r="O922" i="24"/>
  <c r="L922" i="24"/>
  <c r="L818" i="24"/>
  <c r="O818" i="24"/>
  <c r="P818" i="24"/>
  <c r="Q818" i="24"/>
  <c r="K818" i="24"/>
  <c r="O817" i="24"/>
  <c r="L817" i="24"/>
  <c r="K817" i="24"/>
  <c r="P817" i="24"/>
  <c r="Q817" i="24"/>
  <c r="L802" i="24"/>
  <c r="K802" i="24"/>
  <c r="Q802" i="24"/>
  <c r="P802" i="24"/>
  <c r="O802" i="24"/>
  <c r="Q790" i="24"/>
  <c r="P790" i="24"/>
  <c r="O790" i="24"/>
  <c r="L790" i="24"/>
  <c r="K790" i="24"/>
  <c r="O970" i="24"/>
  <c r="K970" i="24"/>
  <c r="L970" i="24"/>
  <c r="P970" i="24"/>
  <c r="Q970" i="24"/>
  <c r="Q781" i="24"/>
  <c r="O781" i="24"/>
  <c r="K781" i="24"/>
  <c r="L781" i="24"/>
  <c r="P781" i="24"/>
  <c r="Q766" i="24"/>
  <c r="P766" i="24"/>
  <c r="O766" i="24"/>
  <c r="L766" i="24"/>
  <c r="K766" i="24"/>
  <c r="K959" i="24"/>
  <c r="Q959" i="24"/>
  <c r="O959" i="24"/>
  <c r="P959" i="24"/>
  <c r="L959" i="24"/>
  <c r="L875" i="24"/>
  <c r="K875" i="24"/>
  <c r="P875" i="24"/>
  <c r="Q875" i="24"/>
  <c r="O875" i="24"/>
  <c r="Q841" i="24"/>
  <c r="P841" i="24"/>
  <c r="L841" i="24"/>
  <c r="K841" i="24"/>
  <c r="O841" i="24"/>
  <c r="Q840" i="24"/>
  <c r="K840" i="24"/>
  <c r="L840" i="24"/>
  <c r="O840" i="24"/>
  <c r="P840" i="24"/>
  <c r="K837" i="24"/>
  <c r="L837" i="24"/>
  <c r="O837" i="24"/>
  <c r="Q837" i="24"/>
  <c r="P837" i="24"/>
  <c r="P835" i="24"/>
  <c r="Q835" i="24"/>
  <c r="L835" i="24"/>
  <c r="O835" i="24"/>
  <c r="K835" i="24"/>
  <c r="Q833" i="24"/>
  <c r="L833" i="24"/>
  <c r="O833" i="24"/>
  <c r="K833" i="24"/>
  <c r="P833" i="24"/>
  <c r="K826" i="24"/>
  <c r="L826" i="24"/>
  <c r="Q826" i="24"/>
  <c r="P826" i="24"/>
  <c r="O826" i="24"/>
  <c r="O868" i="24"/>
  <c r="P868" i="24"/>
  <c r="Q868" i="24"/>
  <c r="L868" i="24"/>
  <c r="K868" i="24"/>
  <c r="P851" i="24"/>
  <c r="Q851" i="24"/>
  <c r="O851" i="24"/>
  <c r="L851" i="24"/>
  <c r="K851" i="24"/>
  <c r="Q850" i="24"/>
  <c r="O850" i="24"/>
  <c r="K850" i="24"/>
  <c r="L850" i="24"/>
  <c r="P850" i="24"/>
  <c r="Q847" i="24"/>
  <c r="O847" i="24"/>
  <c r="K847" i="24"/>
  <c r="P847" i="24"/>
  <c r="L847" i="24"/>
  <c r="P844" i="24"/>
  <c r="L844" i="24"/>
  <c r="K844" i="24"/>
  <c r="O844" i="24"/>
  <c r="Q844" i="24"/>
  <c r="L310" i="24"/>
  <c r="K310" i="24"/>
  <c r="O310" i="24"/>
  <c r="Q310" i="24"/>
  <c r="P310" i="24"/>
  <c r="P305" i="24"/>
  <c r="L305" i="24"/>
  <c r="K305" i="24"/>
  <c r="O305" i="24"/>
  <c r="Q305" i="24"/>
  <c r="O301" i="24"/>
  <c r="L301" i="24"/>
  <c r="K301" i="24"/>
  <c r="Q301" i="24"/>
  <c r="P301" i="24"/>
  <c r="P300" i="24"/>
  <c r="Q300" i="24"/>
  <c r="L300" i="24"/>
  <c r="K300" i="24"/>
  <c r="O300" i="24"/>
  <c r="P294" i="24"/>
  <c r="K294" i="24"/>
  <c r="L294" i="24"/>
  <c r="O294" i="24"/>
  <c r="Q294" i="24"/>
  <c r="K293" i="24"/>
  <c r="O293" i="24"/>
  <c r="L293" i="24"/>
  <c r="P293" i="24"/>
  <c r="Q293" i="24"/>
  <c r="P292" i="24"/>
  <c r="Q292" i="24"/>
  <c r="O292" i="24"/>
  <c r="L292" i="24"/>
  <c r="K292" i="24"/>
  <c r="Q291" i="24"/>
  <c r="P291" i="24"/>
  <c r="O291" i="24"/>
  <c r="K291" i="24"/>
  <c r="L291" i="24"/>
  <c r="P289" i="24"/>
  <c r="K289" i="24"/>
  <c r="O289" i="24"/>
  <c r="L289" i="24"/>
  <c r="Q289" i="24"/>
  <c r="O287" i="24"/>
  <c r="P287" i="24"/>
  <c r="Q287" i="24"/>
  <c r="K287" i="24"/>
  <c r="L287" i="24"/>
  <c r="P284" i="24"/>
  <c r="L284" i="24"/>
  <c r="K284" i="24"/>
  <c r="Q284" i="24"/>
  <c r="O284" i="24"/>
  <c r="K283" i="24"/>
  <c r="Q283" i="24"/>
  <c r="P283" i="24"/>
  <c r="O283" i="24"/>
  <c r="L283" i="24"/>
  <c r="P279" i="24"/>
  <c r="Q279" i="24"/>
  <c r="L279" i="24"/>
  <c r="K279" i="24"/>
  <c r="O279" i="24"/>
  <c r="Q278" i="24"/>
  <c r="P278" i="24"/>
  <c r="O278" i="24"/>
  <c r="L278" i="24"/>
  <c r="K278" i="24"/>
  <c r="Q277" i="24"/>
  <c r="P277" i="24"/>
  <c r="L277" i="24"/>
  <c r="O277" i="24"/>
  <c r="K277" i="24"/>
  <c r="O276" i="24"/>
  <c r="L276" i="24"/>
  <c r="P276" i="24"/>
  <c r="K276" i="24"/>
  <c r="Q276" i="24"/>
  <c r="L275" i="24"/>
  <c r="K275" i="24"/>
  <c r="Q275" i="24"/>
  <c r="O275" i="24"/>
  <c r="P275" i="24"/>
  <c r="O274" i="24"/>
  <c r="K274" i="24"/>
  <c r="L274" i="24"/>
  <c r="P274" i="24"/>
  <c r="Q274" i="24"/>
  <c r="P264" i="24"/>
  <c r="L264" i="24"/>
  <c r="O264" i="24"/>
  <c r="K264" i="24"/>
  <c r="Q264" i="24"/>
  <c r="Q263" i="24"/>
  <c r="K263" i="24"/>
  <c r="L263" i="24"/>
  <c r="O263" i="24"/>
  <c r="P263" i="24"/>
  <c r="Q262" i="24"/>
  <c r="P262" i="24"/>
  <c r="O262" i="24"/>
  <c r="K262" i="24"/>
  <c r="L262" i="24"/>
  <c r="Q261" i="24"/>
  <c r="K261" i="24"/>
  <c r="P261" i="24"/>
  <c r="L261" i="24"/>
  <c r="O261" i="24"/>
  <c r="Q258" i="24"/>
  <c r="L258" i="24"/>
  <c r="P258" i="24"/>
  <c r="K258" i="24"/>
  <c r="O258" i="24"/>
  <c r="K257" i="24"/>
  <c r="Q257" i="24"/>
  <c r="O257" i="24"/>
  <c r="L257" i="24"/>
  <c r="P257" i="24"/>
  <c r="Q256" i="24"/>
  <c r="O256" i="24"/>
  <c r="L256" i="24"/>
  <c r="K256" i="24"/>
  <c r="P256" i="24"/>
  <c r="Q255" i="24"/>
  <c r="O255" i="24"/>
  <c r="K255" i="24"/>
  <c r="L255" i="24"/>
  <c r="P255" i="24"/>
  <c r="O254" i="24"/>
  <c r="P254" i="24"/>
  <c r="K254" i="24"/>
  <c r="L254" i="24"/>
  <c r="Q254" i="24"/>
  <c r="O251" i="24"/>
  <c r="P251" i="24"/>
  <c r="K251" i="24"/>
  <c r="Q251" i="24"/>
  <c r="L251" i="24"/>
  <c r="L250" i="24"/>
  <c r="Q250" i="24"/>
  <c r="O250" i="24"/>
  <c r="K250" i="24"/>
  <c r="P250" i="24"/>
  <c r="P249" i="24"/>
  <c r="Q249" i="24"/>
  <c r="O249" i="24"/>
  <c r="K249" i="24"/>
  <c r="L249" i="24"/>
  <c r="K248" i="24"/>
  <c r="P248" i="24"/>
  <c r="O248" i="24"/>
  <c r="L248" i="24"/>
  <c r="Q248" i="24"/>
  <c r="K247" i="24"/>
  <c r="P247" i="24"/>
  <c r="L247" i="24"/>
  <c r="Q247" i="24"/>
  <c r="O247" i="24"/>
  <c r="O245" i="24"/>
  <c r="P245" i="24"/>
  <c r="Q245" i="24"/>
  <c r="L245" i="24"/>
  <c r="K245" i="24"/>
  <c r="L621" i="24"/>
  <c r="Q621" i="24"/>
  <c r="O621" i="24"/>
  <c r="K621" i="24"/>
  <c r="P621" i="24"/>
  <c r="L570" i="24"/>
  <c r="K570" i="24"/>
  <c r="O570" i="24"/>
  <c r="Q570" i="24"/>
  <c r="P570" i="24"/>
  <c r="P566" i="24"/>
  <c r="Q566" i="24"/>
  <c r="K566" i="24"/>
  <c r="L566" i="24"/>
  <c r="O566" i="24"/>
  <c r="K75" i="24"/>
  <c r="O75" i="24"/>
  <c r="Q75" i="24"/>
  <c r="P75" i="24"/>
  <c r="L75" i="24"/>
  <c r="K74" i="24"/>
  <c r="P74" i="24"/>
  <c r="O74" i="24"/>
  <c r="L74" i="24"/>
  <c r="Q74" i="24"/>
  <c r="P73" i="24"/>
  <c r="Q73" i="24"/>
  <c r="K73" i="24"/>
  <c r="O73" i="24"/>
  <c r="L73" i="24"/>
  <c r="L72" i="24"/>
  <c r="P72" i="24"/>
  <c r="Q72" i="24"/>
  <c r="K72" i="24"/>
  <c r="O72" i="24"/>
  <c r="P71" i="24"/>
  <c r="Q71" i="24"/>
  <c r="O71" i="24"/>
  <c r="K71" i="24"/>
  <c r="L71" i="24"/>
  <c r="K70" i="24"/>
  <c r="L70" i="24"/>
  <c r="O70" i="24"/>
  <c r="P70" i="24"/>
  <c r="Q70" i="24"/>
  <c r="O65" i="24"/>
  <c r="P65" i="24"/>
  <c r="K65" i="24"/>
  <c r="L65" i="24"/>
  <c r="Q65" i="24"/>
  <c r="L64" i="24"/>
  <c r="O64" i="24"/>
  <c r="P64" i="24"/>
  <c r="Q64" i="24"/>
  <c r="K64" i="24"/>
  <c r="Q63" i="24"/>
  <c r="K63" i="24"/>
  <c r="O63" i="24"/>
  <c r="L63" i="24"/>
  <c r="P63" i="24"/>
  <c r="K62" i="24"/>
  <c r="O62" i="24"/>
  <c r="L62" i="24"/>
  <c r="P62" i="24"/>
  <c r="Q62" i="24"/>
  <c r="O61" i="24"/>
  <c r="P61" i="24"/>
  <c r="Q61" i="24"/>
  <c r="K61" i="24"/>
  <c r="L61" i="24"/>
  <c r="P59" i="24"/>
  <c r="K59" i="24"/>
  <c r="L59" i="24"/>
  <c r="O59" i="24"/>
  <c r="Q59" i="24"/>
  <c r="Q57" i="24"/>
  <c r="P57" i="24"/>
  <c r="O57" i="24"/>
  <c r="L57" i="24"/>
  <c r="K57" i="24"/>
  <c r="Q56" i="24"/>
  <c r="P56" i="24"/>
  <c r="L56" i="24"/>
  <c r="K56" i="24"/>
  <c r="O56" i="24"/>
  <c r="Q55" i="24"/>
  <c r="O55" i="24"/>
  <c r="L55" i="24"/>
  <c r="P55" i="24"/>
  <c r="K55" i="24"/>
  <c r="L54" i="24"/>
  <c r="Q54" i="24"/>
  <c r="K54" i="24"/>
  <c r="O54" i="24"/>
  <c r="P54" i="24"/>
  <c r="L51" i="24"/>
  <c r="Q51" i="24"/>
  <c r="K51" i="24"/>
  <c r="O51" i="24"/>
  <c r="P51" i="24"/>
  <c r="L50" i="24"/>
  <c r="Q50" i="24"/>
  <c r="K50" i="24"/>
  <c r="O50" i="24"/>
  <c r="P50" i="24"/>
  <c r="Q536" i="24"/>
  <c r="O536" i="24"/>
  <c r="L536" i="24"/>
  <c r="K536" i="24"/>
  <c r="P536" i="24"/>
  <c r="K194" i="24"/>
  <c r="P194" i="24"/>
  <c r="Q194" i="24"/>
  <c r="L194" i="24"/>
  <c r="O194" i="24"/>
  <c r="K193" i="24"/>
  <c r="L193" i="24"/>
  <c r="O193" i="24"/>
  <c r="P193" i="24"/>
  <c r="Q193" i="24"/>
  <c r="O192" i="24"/>
  <c r="L192" i="24"/>
  <c r="Q192" i="24"/>
  <c r="K192" i="24"/>
  <c r="P192" i="24"/>
  <c r="Q191" i="24"/>
  <c r="P191" i="24"/>
  <c r="O191" i="24"/>
  <c r="L191" i="24"/>
  <c r="K191" i="24"/>
  <c r="Q187" i="24"/>
  <c r="P187" i="24"/>
  <c r="L187" i="24"/>
  <c r="K187" i="24"/>
  <c r="O187" i="24"/>
  <c r="O186" i="24"/>
  <c r="P186" i="24"/>
  <c r="Q186" i="24"/>
  <c r="K186" i="24"/>
  <c r="L186" i="24"/>
  <c r="Q185" i="24"/>
  <c r="L185" i="24"/>
  <c r="K185" i="24"/>
  <c r="P185" i="24"/>
  <c r="O185" i="24"/>
  <c r="Q184" i="24"/>
  <c r="P184" i="24"/>
  <c r="O184" i="24"/>
  <c r="L184" i="24"/>
  <c r="K184" i="24"/>
  <c r="L183" i="24"/>
  <c r="K183" i="24"/>
  <c r="Q183" i="24"/>
  <c r="P183" i="24"/>
  <c r="O183" i="24"/>
  <c r="O182" i="24"/>
  <c r="P182" i="24"/>
  <c r="Q182" i="24"/>
  <c r="K182" i="24"/>
  <c r="L182" i="24"/>
  <c r="Q181" i="24"/>
  <c r="K181" i="24"/>
  <c r="O181" i="24"/>
  <c r="P181" i="24"/>
  <c r="L181" i="24"/>
  <c r="O179" i="24"/>
  <c r="P179" i="24"/>
  <c r="Q179" i="24"/>
  <c r="K179" i="24"/>
  <c r="L179" i="24"/>
  <c r="L178" i="24"/>
  <c r="O178" i="24"/>
  <c r="K178" i="24"/>
  <c r="Q178" i="24"/>
  <c r="P178" i="24"/>
  <c r="L177" i="24"/>
  <c r="K177" i="24"/>
  <c r="Q177" i="24"/>
  <c r="P177" i="24"/>
  <c r="O177" i="24"/>
  <c r="O176" i="24"/>
  <c r="L176" i="24"/>
  <c r="K176" i="24"/>
  <c r="P176" i="24"/>
  <c r="Q176" i="24"/>
  <c r="P175" i="24"/>
  <c r="O175" i="24"/>
  <c r="L175" i="24"/>
  <c r="K175" i="24"/>
  <c r="Q175" i="24"/>
  <c r="L171" i="24"/>
  <c r="Q171" i="24"/>
  <c r="P171" i="24"/>
  <c r="O171" i="24"/>
  <c r="K171" i="24"/>
  <c r="Q170" i="24"/>
  <c r="P170" i="24"/>
  <c r="O170" i="24"/>
  <c r="L170" i="24"/>
  <c r="K170" i="24"/>
  <c r="L169" i="24"/>
  <c r="Q169" i="24"/>
  <c r="K169" i="24"/>
  <c r="P169" i="24"/>
  <c r="O169" i="24"/>
  <c r="O168" i="24"/>
  <c r="P168" i="24"/>
  <c r="Q168" i="24"/>
  <c r="L168" i="24"/>
  <c r="K168" i="24"/>
  <c r="O167" i="24"/>
  <c r="Q167" i="24"/>
  <c r="P167" i="24"/>
  <c r="L167" i="24"/>
  <c r="K167" i="24"/>
  <c r="P166" i="24"/>
  <c r="O166" i="24"/>
  <c r="L166" i="24"/>
  <c r="K166" i="24"/>
  <c r="Q166" i="24"/>
  <c r="L165" i="24"/>
  <c r="K165" i="24"/>
  <c r="Q165" i="24"/>
  <c r="P165" i="24"/>
  <c r="O165" i="24"/>
  <c r="Q164" i="24"/>
  <c r="P164" i="24"/>
  <c r="K164" i="24"/>
  <c r="L164" i="24"/>
  <c r="O164" i="24"/>
  <c r="Q158" i="24"/>
  <c r="K158" i="24"/>
  <c r="L158" i="24"/>
  <c r="O158" i="24"/>
  <c r="P158" i="24"/>
  <c r="K157" i="24"/>
  <c r="L157" i="24"/>
  <c r="P157" i="24"/>
  <c r="Q157" i="24"/>
  <c r="O157" i="24"/>
  <c r="K156" i="24"/>
  <c r="Q156" i="24"/>
  <c r="P156" i="24"/>
  <c r="O156" i="24"/>
  <c r="L156" i="24"/>
  <c r="O155" i="24"/>
  <c r="P155" i="24"/>
  <c r="Q155" i="24"/>
  <c r="L155" i="24"/>
  <c r="K155" i="24"/>
  <c r="K151" i="24"/>
  <c r="L151" i="24"/>
  <c r="O151" i="24"/>
  <c r="P151" i="24"/>
  <c r="Q151" i="24"/>
  <c r="Q150" i="24"/>
  <c r="L150" i="24"/>
  <c r="K150" i="24"/>
  <c r="P150" i="24"/>
  <c r="O150" i="24"/>
  <c r="L149" i="24"/>
  <c r="P149" i="24"/>
  <c r="O149" i="24"/>
  <c r="Q149" i="24"/>
  <c r="K149" i="24"/>
  <c r="O144" i="24"/>
  <c r="Q144" i="24"/>
  <c r="K144" i="24"/>
  <c r="P144" i="24"/>
  <c r="L144" i="24"/>
  <c r="O142" i="24"/>
  <c r="L142" i="24"/>
  <c r="K142" i="24"/>
  <c r="Q142" i="24"/>
  <c r="P142" i="24"/>
  <c r="K141" i="24"/>
  <c r="L141" i="24"/>
  <c r="Q141" i="24"/>
  <c r="P141" i="24"/>
  <c r="O141" i="24"/>
  <c r="L140" i="24"/>
  <c r="K140" i="24"/>
  <c r="O140" i="24"/>
  <c r="P140" i="24"/>
  <c r="Q140" i="24"/>
  <c r="Q139" i="24"/>
  <c r="K139" i="24"/>
  <c r="L139" i="24"/>
  <c r="P139" i="24"/>
  <c r="O139" i="24"/>
  <c r="O137" i="24"/>
  <c r="P137" i="24"/>
  <c r="Q137" i="24"/>
  <c r="L137" i="24"/>
  <c r="K137" i="24"/>
  <c r="L136" i="24"/>
  <c r="K136" i="24"/>
  <c r="Q136" i="24"/>
  <c r="P136" i="24"/>
  <c r="O136" i="24"/>
  <c r="P135" i="24"/>
  <c r="O135" i="24"/>
  <c r="L135" i="24"/>
  <c r="K135" i="24"/>
  <c r="Q135" i="24"/>
  <c r="O134" i="24"/>
  <c r="P134" i="24"/>
  <c r="Q134" i="24"/>
  <c r="K134" i="24"/>
  <c r="L134" i="24"/>
  <c r="O16" i="24"/>
  <c r="P16" i="24"/>
  <c r="K16" i="24"/>
  <c r="Q16" i="24"/>
  <c r="L16" i="24"/>
  <c r="L892" i="24"/>
  <c r="K892" i="24"/>
  <c r="O892" i="24"/>
  <c r="P892" i="24"/>
  <c r="Q892" i="24"/>
  <c r="Q926" i="24"/>
  <c r="P926" i="24"/>
  <c r="L926" i="24"/>
  <c r="K926" i="24"/>
  <c r="O926" i="24"/>
  <c r="K924" i="24"/>
  <c r="L924" i="24"/>
  <c r="P924" i="24"/>
  <c r="Q924" i="24"/>
  <c r="O924" i="24"/>
  <c r="K810" i="24"/>
  <c r="L810" i="24"/>
  <c r="O810" i="24"/>
  <c r="P810" i="24"/>
  <c r="Q810" i="24"/>
  <c r="K779" i="24"/>
  <c r="P779" i="24"/>
  <c r="L779" i="24"/>
  <c r="O779" i="24"/>
  <c r="Q779" i="24"/>
  <c r="Q904" i="24"/>
  <c r="P904" i="24"/>
  <c r="O904" i="24"/>
  <c r="L904" i="24"/>
  <c r="K904" i="24"/>
  <c r="Q880" i="24"/>
  <c r="P880" i="24"/>
  <c r="O880" i="24"/>
  <c r="K880" i="24"/>
  <c r="L880" i="24"/>
  <c r="O747" i="24"/>
  <c r="P747" i="24"/>
  <c r="K747" i="24"/>
  <c r="L747" i="24"/>
  <c r="Q747" i="24"/>
  <c r="O889" i="24"/>
  <c r="L889" i="24"/>
  <c r="K889" i="24"/>
  <c r="P889" i="24"/>
  <c r="Q889" i="24"/>
  <c r="O881" i="24"/>
  <c r="L881" i="24"/>
  <c r="K881" i="24"/>
  <c r="Q881" i="24"/>
  <c r="P881" i="24"/>
  <c r="P820" i="24"/>
  <c r="O820" i="24"/>
  <c r="K820" i="24"/>
  <c r="L820" i="24"/>
  <c r="Q820" i="24"/>
  <c r="L884" i="24"/>
  <c r="K884" i="24"/>
  <c r="O884" i="24"/>
  <c r="P884" i="24"/>
  <c r="Q884" i="24"/>
  <c r="P914" i="24"/>
  <c r="O914" i="24"/>
  <c r="L914" i="24"/>
  <c r="Q914" i="24"/>
  <c r="K914" i="24"/>
  <c r="Q843" i="24"/>
  <c r="O843" i="24"/>
  <c r="K843" i="24"/>
  <c r="L843" i="24"/>
  <c r="P843" i="24"/>
  <c r="P687" i="24"/>
  <c r="O687" i="24"/>
  <c r="L687" i="24"/>
  <c r="K687" i="24"/>
  <c r="Q687" i="24"/>
  <c r="O879" i="24"/>
  <c r="Q879" i="24"/>
  <c r="P879" i="24"/>
  <c r="L879" i="24"/>
  <c r="K879" i="24"/>
  <c r="K750" i="24"/>
  <c r="L750" i="24"/>
  <c r="O750" i="24"/>
  <c r="P750" i="24"/>
  <c r="Q750" i="24"/>
  <c r="Q720" i="24"/>
  <c r="P720" i="24"/>
  <c r="O720" i="24"/>
  <c r="K720" i="24"/>
  <c r="L720" i="24"/>
  <c r="Q872" i="24"/>
  <c r="K872" i="24"/>
  <c r="L872" i="24"/>
  <c r="O872" i="24"/>
  <c r="P872" i="24"/>
  <c r="L871" i="24"/>
  <c r="K871" i="24"/>
  <c r="P871" i="24"/>
  <c r="Q871" i="24"/>
  <c r="O871" i="24"/>
  <c r="O869" i="24"/>
  <c r="P869" i="24"/>
  <c r="Q869" i="24"/>
  <c r="K869" i="24"/>
  <c r="L869" i="24"/>
  <c r="Q865" i="24"/>
  <c r="P865" i="24"/>
  <c r="O865" i="24"/>
  <c r="L865" i="24"/>
  <c r="K865" i="24"/>
  <c r="Q864" i="24"/>
  <c r="O864" i="24"/>
  <c r="P864" i="24"/>
  <c r="L864" i="24"/>
  <c r="K864" i="24"/>
  <c r="O861" i="24"/>
  <c r="K861" i="24"/>
  <c r="L861" i="24"/>
  <c r="Q861" i="24"/>
  <c r="P861" i="24"/>
  <c r="K859" i="24"/>
  <c r="Q859" i="24"/>
  <c r="L859" i="24"/>
  <c r="P859" i="24"/>
  <c r="O859" i="24"/>
  <c r="Q856" i="24"/>
  <c r="L856" i="24"/>
  <c r="K856" i="24"/>
  <c r="O856" i="24"/>
  <c r="P856" i="24"/>
  <c r="O854" i="24"/>
  <c r="P854" i="24"/>
  <c r="Q854" i="24"/>
  <c r="L854" i="24"/>
  <c r="K854" i="24"/>
  <c r="K848" i="24"/>
  <c r="Q848" i="24"/>
  <c r="P848" i="24"/>
  <c r="O848" i="24"/>
  <c r="L848" i="24"/>
  <c r="K821" i="24"/>
  <c r="L821" i="24"/>
  <c r="O821" i="24"/>
  <c r="Q821" i="24"/>
  <c r="P821" i="24"/>
  <c r="O793" i="24"/>
  <c r="L793" i="24"/>
  <c r="K793" i="24"/>
  <c r="Q793" i="24"/>
  <c r="P793" i="24"/>
  <c r="O198" i="24"/>
  <c r="P198" i="24"/>
  <c r="Q198" i="24"/>
  <c r="K198" i="24"/>
  <c r="L198" i="24"/>
  <c r="K197" i="24"/>
  <c r="O197" i="24"/>
  <c r="P197" i="24"/>
  <c r="L197" i="24"/>
  <c r="Q197" i="24"/>
  <c r="L196" i="24"/>
  <c r="P196" i="24"/>
  <c r="O196" i="24"/>
  <c r="K196" i="24"/>
  <c r="Q196" i="24"/>
  <c r="L195" i="24"/>
  <c r="Q195" i="24"/>
  <c r="K195" i="24"/>
  <c r="O195" i="24"/>
  <c r="P195" i="24"/>
  <c r="P190" i="24"/>
  <c r="O190" i="24"/>
  <c r="L190" i="24"/>
  <c r="K190" i="24"/>
  <c r="Q190" i="24"/>
  <c r="Q189" i="24"/>
  <c r="P189" i="24"/>
  <c r="L189" i="24"/>
  <c r="K189" i="24"/>
  <c r="O189" i="24"/>
  <c r="K174" i="24"/>
  <c r="L174" i="24"/>
  <c r="P174" i="24"/>
  <c r="O174" i="24"/>
  <c r="Q174" i="24"/>
  <c r="P173" i="24"/>
  <c r="O173" i="24"/>
  <c r="K173" i="24"/>
  <c r="L173" i="24"/>
  <c r="Q173" i="24"/>
  <c r="Q172" i="24"/>
  <c r="O172" i="24"/>
  <c r="K172" i="24"/>
  <c r="P172" i="24"/>
  <c r="L172" i="24"/>
  <c r="P160" i="24"/>
  <c r="Q160" i="24"/>
  <c r="L160" i="24"/>
  <c r="O160" i="24"/>
  <c r="K160" i="24"/>
  <c r="O159" i="24"/>
  <c r="P159" i="24"/>
  <c r="L159" i="24"/>
  <c r="Q159" i="24"/>
  <c r="K159" i="24"/>
  <c r="O153" i="24"/>
  <c r="L153" i="24"/>
  <c r="K153" i="24"/>
  <c r="P153" i="24"/>
  <c r="Q153" i="24"/>
  <c r="K147" i="24"/>
  <c r="O147" i="24"/>
  <c r="Q147" i="24"/>
  <c r="P147" i="24"/>
  <c r="L147" i="24"/>
  <c r="L146" i="24"/>
  <c r="Q146" i="24"/>
  <c r="K146" i="24"/>
  <c r="P146" i="24"/>
  <c r="O146" i="24"/>
  <c r="O145" i="24"/>
  <c r="K145" i="24"/>
  <c r="L145" i="24"/>
  <c r="Q145" i="24"/>
  <c r="P145" i="24"/>
  <c r="L143" i="24"/>
  <c r="O143" i="24"/>
  <c r="K143" i="24"/>
  <c r="P143" i="24"/>
  <c r="Q143" i="24"/>
  <c r="L138" i="24"/>
  <c r="K138" i="24"/>
  <c r="Q138" i="24"/>
  <c r="O138" i="24"/>
  <c r="P138" i="24"/>
  <c r="L494" i="24"/>
  <c r="P494" i="24"/>
  <c r="O494" i="24"/>
  <c r="K494" i="24"/>
  <c r="Q494" i="24"/>
  <c r="L316" i="24"/>
  <c r="P316" i="24"/>
  <c r="O316" i="24"/>
  <c r="K316" i="24"/>
  <c r="Q316" i="24"/>
  <c r="P315" i="24"/>
  <c r="Q315" i="24"/>
  <c r="O315" i="24"/>
  <c r="L315" i="24"/>
  <c r="K315" i="24"/>
  <c r="K314" i="24"/>
  <c r="O314" i="24"/>
  <c r="P314" i="24"/>
  <c r="Q314" i="24"/>
  <c r="L314" i="24"/>
  <c r="P313" i="24"/>
  <c r="O313" i="24"/>
  <c r="L313" i="24"/>
  <c r="K313" i="24"/>
  <c r="Q313" i="24"/>
  <c r="K312" i="24"/>
  <c r="P312" i="24"/>
  <c r="O312" i="24"/>
  <c r="Q312" i="24"/>
  <c r="L312" i="24"/>
  <c r="Q311" i="24"/>
  <c r="O311" i="24"/>
  <c r="L311" i="24"/>
  <c r="P311" i="24"/>
  <c r="K311" i="24"/>
  <c r="O309" i="24"/>
  <c r="L309" i="24"/>
  <c r="Q309" i="24"/>
  <c r="K309" i="24"/>
  <c r="P309" i="24"/>
  <c r="O308" i="24"/>
  <c r="Q308" i="24"/>
  <c r="P308" i="24"/>
  <c r="K308" i="24"/>
  <c r="L308" i="24"/>
  <c r="L307" i="24"/>
  <c r="Q307" i="24"/>
  <c r="P307" i="24"/>
  <c r="K307" i="24"/>
  <c r="O307" i="24"/>
  <c r="L306" i="24"/>
  <c r="P306" i="24"/>
  <c r="K306" i="24"/>
  <c r="O306" i="24"/>
  <c r="Q306" i="24"/>
  <c r="O304" i="24"/>
  <c r="Q304" i="24"/>
  <c r="K304" i="24"/>
  <c r="L304" i="24"/>
  <c r="P304" i="24"/>
  <c r="K303" i="24"/>
  <c r="L303" i="24"/>
  <c r="O303" i="24"/>
  <c r="P303" i="24"/>
  <c r="Q303" i="24"/>
  <c r="O302" i="24"/>
  <c r="Q302" i="24"/>
  <c r="L302" i="24"/>
  <c r="P302" i="24"/>
  <c r="K302" i="24"/>
  <c r="L299" i="24"/>
  <c r="K299" i="24"/>
  <c r="Q299" i="24"/>
  <c r="O299" i="24"/>
  <c r="P299" i="24"/>
  <c r="P298" i="24"/>
  <c r="L298" i="24"/>
  <c r="K298" i="24"/>
  <c r="O298" i="24"/>
  <c r="Q298" i="24"/>
  <c r="K297" i="24"/>
  <c r="P297" i="24"/>
  <c r="O297" i="24"/>
  <c r="L297" i="24"/>
  <c r="Q297" i="24"/>
  <c r="L296" i="24"/>
  <c r="O296" i="24"/>
  <c r="K296" i="24"/>
  <c r="Q296" i="24"/>
  <c r="P296" i="24"/>
  <c r="P295" i="24"/>
  <c r="Q295" i="24"/>
  <c r="K295" i="24"/>
  <c r="O295" i="24"/>
  <c r="L295" i="24"/>
  <c r="Q290" i="24"/>
  <c r="O290" i="24"/>
  <c r="K290" i="24"/>
  <c r="P290" i="24"/>
  <c r="L290" i="24"/>
  <c r="P288" i="24"/>
  <c r="Q288" i="24"/>
  <c r="L288" i="24"/>
  <c r="K288" i="24"/>
  <c r="O288" i="24"/>
  <c r="K286" i="24"/>
  <c r="Q286" i="24"/>
  <c r="P286" i="24"/>
  <c r="L286" i="24"/>
  <c r="O286" i="24"/>
  <c r="P285" i="24"/>
  <c r="K285" i="24"/>
  <c r="L285" i="24"/>
  <c r="Q285" i="24"/>
  <c r="O285" i="24"/>
  <c r="K281" i="24"/>
  <c r="Q281" i="24"/>
  <c r="O281" i="24"/>
  <c r="L281" i="24"/>
  <c r="P281" i="24"/>
  <c r="O273" i="24"/>
  <c r="L273" i="24"/>
  <c r="P273" i="24"/>
  <c r="K273" i="24"/>
  <c r="Q273" i="24"/>
  <c r="K272" i="24"/>
  <c r="L272" i="24"/>
  <c r="O272" i="24"/>
  <c r="P272" i="24"/>
  <c r="Q272" i="24"/>
  <c r="K271" i="24"/>
  <c r="O271" i="24"/>
  <c r="P271" i="24"/>
  <c r="Q271" i="24"/>
  <c r="L271" i="24"/>
  <c r="K270" i="24"/>
  <c r="O270" i="24"/>
  <c r="P270" i="24"/>
  <c r="L270" i="24"/>
  <c r="Q270" i="24"/>
  <c r="Q269" i="24"/>
  <c r="O269" i="24"/>
  <c r="P269" i="24"/>
  <c r="K269" i="24"/>
  <c r="L269" i="24"/>
  <c r="P268" i="24"/>
  <c r="O268" i="24"/>
  <c r="Q268" i="24"/>
  <c r="K268" i="24"/>
  <c r="L268" i="24"/>
  <c r="L266" i="24"/>
  <c r="O266" i="24"/>
  <c r="Q266" i="24"/>
  <c r="P266" i="24"/>
  <c r="K266" i="24"/>
  <c r="K265" i="24"/>
  <c r="P265" i="24"/>
  <c r="Q265" i="24"/>
  <c r="L265" i="24"/>
  <c r="O265" i="24"/>
  <c r="O253" i="24"/>
  <c r="Q253" i="24"/>
  <c r="P253" i="24"/>
  <c r="L253" i="24"/>
  <c r="K253" i="24"/>
  <c r="K252" i="24"/>
  <c r="Q252" i="24"/>
  <c r="L252" i="24"/>
  <c r="P252" i="24"/>
  <c r="O252" i="24"/>
  <c r="K246" i="24"/>
  <c r="P246" i="24"/>
  <c r="Q246" i="24"/>
  <c r="O246" i="24"/>
  <c r="L246" i="24"/>
  <c r="Q244" i="24"/>
  <c r="K244" i="24"/>
  <c r="O244" i="24"/>
  <c r="L244" i="24"/>
  <c r="P244" i="24"/>
  <c r="O243" i="24"/>
  <c r="K243" i="24"/>
  <c r="P243" i="24"/>
  <c r="L243" i="24"/>
  <c r="Q243" i="24"/>
  <c r="L242" i="24"/>
  <c r="K242" i="24"/>
  <c r="P242" i="24"/>
  <c r="Q242" i="24"/>
  <c r="O242" i="24"/>
  <c r="Q217" i="24"/>
  <c r="L217" i="24"/>
  <c r="O217" i="24"/>
  <c r="P217" i="24"/>
  <c r="K217" i="24"/>
  <c r="K215" i="24"/>
  <c r="P215" i="24"/>
  <c r="O215" i="24"/>
  <c r="L215" i="24"/>
  <c r="Q215" i="24"/>
  <c r="O214" i="24"/>
  <c r="Q214" i="24"/>
  <c r="K214" i="24"/>
  <c r="L214" i="24"/>
  <c r="P214" i="24"/>
  <c r="Q212" i="24"/>
  <c r="L212" i="24"/>
  <c r="K212" i="24"/>
  <c r="P212" i="24"/>
  <c r="O212" i="24"/>
  <c r="Q208" i="24"/>
  <c r="P208" i="24"/>
  <c r="O208" i="24"/>
  <c r="K208" i="24"/>
  <c r="L208" i="24"/>
  <c r="L207" i="24"/>
  <c r="K207" i="24"/>
  <c r="P207" i="24"/>
  <c r="O207" i="24"/>
  <c r="Q207" i="24"/>
  <c r="K206" i="24"/>
  <c r="Q206" i="24"/>
  <c r="P206" i="24"/>
  <c r="O206" i="24"/>
  <c r="L206" i="24"/>
  <c r="O205" i="24"/>
  <c r="Q205" i="24"/>
  <c r="P205" i="24"/>
  <c r="L205" i="24"/>
  <c r="K205" i="24"/>
  <c r="Q202" i="24"/>
  <c r="O202" i="24"/>
  <c r="K202" i="24"/>
  <c r="P202" i="24"/>
  <c r="L202" i="24"/>
  <c r="K199" i="24"/>
  <c r="P199" i="24"/>
  <c r="Q199" i="24"/>
  <c r="O199" i="24"/>
  <c r="L199" i="24"/>
  <c r="P133" i="24"/>
  <c r="Q133" i="24"/>
  <c r="O133" i="24"/>
  <c r="K133" i="24"/>
  <c r="L133" i="24"/>
  <c r="K129" i="24"/>
  <c r="L129" i="24"/>
  <c r="P129" i="24"/>
  <c r="O129" i="24"/>
  <c r="Q129" i="24"/>
  <c r="L128" i="24"/>
  <c r="K128" i="24"/>
  <c r="Q128" i="24"/>
  <c r="O128" i="24"/>
  <c r="P128" i="24"/>
  <c r="L127" i="24"/>
  <c r="Q127" i="24"/>
  <c r="P127" i="24"/>
  <c r="O127" i="24"/>
  <c r="K127" i="24"/>
  <c r="P124" i="24"/>
  <c r="Q124" i="24"/>
  <c r="K124" i="24"/>
  <c r="L124" i="24"/>
  <c r="O124" i="24"/>
  <c r="Q123" i="24"/>
  <c r="O123" i="24"/>
  <c r="P123" i="24"/>
  <c r="K123" i="24"/>
  <c r="L123" i="24"/>
  <c r="P122" i="24"/>
  <c r="Q122" i="24"/>
  <c r="K122" i="24"/>
  <c r="L122" i="24"/>
  <c r="O122" i="24"/>
  <c r="L121" i="24"/>
  <c r="O121" i="24"/>
  <c r="P121" i="24"/>
  <c r="Q121" i="24"/>
  <c r="K121" i="24"/>
  <c r="P120" i="24"/>
  <c r="L120" i="24"/>
  <c r="O120" i="24"/>
  <c r="Q120" i="24"/>
  <c r="K120" i="24"/>
  <c r="Q111" i="24"/>
  <c r="P111" i="24"/>
  <c r="K111" i="24"/>
  <c r="O111" i="24"/>
  <c r="L111" i="24"/>
  <c r="Q110" i="24"/>
  <c r="K110" i="24"/>
  <c r="L110" i="24"/>
  <c r="O110" i="24"/>
  <c r="P110" i="24"/>
  <c r="K99" i="24"/>
  <c r="O99" i="24"/>
  <c r="P99" i="24"/>
  <c r="Q99" i="24"/>
  <c r="L99" i="24"/>
  <c r="L98" i="24"/>
  <c r="P98" i="24"/>
  <c r="O98" i="24"/>
  <c r="K98" i="24"/>
  <c r="Q98" i="24"/>
  <c r="K97" i="24"/>
  <c r="Q97" i="24"/>
  <c r="P97" i="24"/>
  <c r="L97" i="24"/>
  <c r="O97" i="24"/>
  <c r="O96" i="24"/>
  <c r="L96" i="24"/>
  <c r="K96" i="24"/>
  <c r="Q96" i="24"/>
  <c r="P96" i="24"/>
  <c r="Q95" i="24"/>
  <c r="L95" i="24"/>
  <c r="O95" i="24"/>
  <c r="P95" i="24"/>
  <c r="K95" i="24"/>
  <c r="K94" i="24"/>
  <c r="L94" i="24"/>
  <c r="O94" i="24"/>
  <c r="Q94" i="24"/>
  <c r="P94" i="24"/>
  <c r="P92" i="24"/>
  <c r="K92" i="24"/>
  <c r="L92" i="24"/>
  <c r="O92" i="24"/>
  <c r="Q92" i="24"/>
  <c r="O88" i="24"/>
  <c r="Q88" i="24"/>
  <c r="K88" i="24"/>
  <c r="P88" i="24"/>
  <c r="L88" i="24"/>
  <c r="O85" i="24"/>
  <c r="P85" i="24"/>
  <c r="L85" i="24"/>
  <c r="Q85" i="24"/>
  <c r="K85" i="24"/>
  <c r="L82" i="24"/>
  <c r="P82" i="24"/>
  <c r="K82" i="24"/>
  <c r="O82" i="24"/>
  <c r="Q82" i="24"/>
  <c r="P81" i="24"/>
  <c r="K81" i="24"/>
  <c r="O81" i="24"/>
  <c r="L81" i="24"/>
  <c r="Q81" i="24"/>
  <c r="O80" i="24"/>
  <c r="L80" i="24"/>
  <c r="K80" i="24"/>
  <c r="Q80" i="24"/>
  <c r="P80" i="24"/>
  <c r="K78" i="24"/>
  <c r="P78" i="24"/>
  <c r="L78" i="24"/>
  <c r="Q78" i="24"/>
  <c r="O78" i="24"/>
  <c r="P77" i="24"/>
  <c r="Q77" i="24"/>
  <c r="L77" i="24"/>
  <c r="O77" i="24"/>
  <c r="K77" i="24"/>
  <c r="P69" i="24"/>
  <c r="Q69" i="24"/>
  <c r="L69" i="24"/>
  <c r="O69" i="24"/>
  <c r="K69" i="24"/>
  <c r="Q68" i="24"/>
  <c r="P68" i="24"/>
  <c r="O68" i="24"/>
  <c r="K68" i="24"/>
  <c r="L68" i="24"/>
  <c r="L67" i="24"/>
  <c r="K67" i="24"/>
  <c r="Q67" i="24"/>
  <c r="O67" i="24"/>
  <c r="P67" i="24"/>
  <c r="Q66" i="24"/>
  <c r="P66" i="24"/>
  <c r="O66" i="24"/>
  <c r="L66" i="24"/>
  <c r="K66" i="24"/>
  <c r="Q53" i="24"/>
  <c r="O53" i="24"/>
  <c r="K53" i="24"/>
  <c r="L53" i="24"/>
  <c r="P53" i="24"/>
  <c r="Q49" i="24"/>
  <c r="O49" i="24"/>
  <c r="K49" i="24"/>
  <c r="L49" i="24"/>
  <c r="P49" i="24"/>
  <c r="Q886" i="24"/>
  <c r="K886" i="24"/>
  <c r="P886" i="24"/>
  <c r="O886" i="24"/>
  <c r="L886" i="24"/>
  <c r="L755" i="24"/>
  <c r="O755" i="24"/>
  <c r="P755" i="24"/>
  <c r="Q755" i="24"/>
  <c r="K755" i="24"/>
  <c r="P706" i="24"/>
  <c r="L706" i="24"/>
  <c r="K706" i="24"/>
  <c r="O706" i="24"/>
  <c r="Q706" i="24"/>
  <c r="O971" i="24"/>
  <c r="L971" i="24"/>
  <c r="K971" i="24"/>
  <c r="Q971" i="24"/>
  <c r="P971" i="24"/>
  <c r="P878" i="24"/>
  <c r="O878" i="24"/>
  <c r="Q878" i="24"/>
  <c r="L878" i="24"/>
  <c r="K878" i="24"/>
  <c r="K866" i="24"/>
  <c r="P866" i="24"/>
  <c r="O866" i="24"/>
  <c r="Q866" i="24"/>
  <c r="L866" i="24"/>
  <c r="P2" i="24"/>
  <c r="J2" i="24"/>
  <c r="L2" i="24"/>
  <c r="J819" i="24"/>
  <c r="I819" i="24"/>
  <c r="J126" i="24"/>
  <c r="J604" i="24"/>
  <c r="J441" i="24"/>
  <c r="J798" i="24"/>
  <c r="J670" i="24"/>
  <c r="J669" i="24"/>
  <c r="J672" i="24"/>
  <c r="J680" i="24"/>
  <c r="J786" i="24"/>
  <c r="J783" i="24"/>
  <c r="J746" i="24"/>
  <c r="J788" i="24"/>
  <c r="J791" i="24"/>
  <c r="J681" i="24"/>
  <c r="J792" i="24"/>
  <c r="J38" i="24"/>
  <c r="J789" i="24"/>
  <c r="J674" i="24"/>
  <c r="J626" i="24"/>
  <c r="J729" i="24"/>
  <c r="J715" i="24"/>
  <c r="J705" i="24"/>
  <c r="J696" i="24"/>
  <c r="J691" i="24"/>
  <c r="J686" i="24"/>
  <c r="J682" i="24"/>
  <c r="J662" i="24"/>
  <c r="J661" i="24"/>
  <c r="J648" i="24"/>
  <c r="J647" i="24"/>
  <c r="J646" i="24"/>
  <c r="J645" i="24"/>
  <c r="J642" i="24"/>
  <c r="J641" i="24"/>
  <c r="J640" i="24"/>
  <c r="J635" i="24"/>
  <c r="J631" i="24"/>
  <c r="J629" i="24"/>
  <c r="J628" i="24"/>
  <c r="J627" i="24"/>
  <c r="J622" i="24"/>
  <c r="J259" i="24"/>
  <c r="J229" i="24"/>
  <c r="J84" i="24"/>
  <c r="J614" i="24"/>
  <c r="J593" i="24"/>
  <c r="J581" i="24"/>
  <c r="J576" i="24"/>
  <c r="J549" i="24"/>
  <c r="J544" i="24"/>
  <c r="J538" i="24"/>
  <c r="J525" i="24"/>
  <c r="J519" i="24"/>
  <c r="J518" i="24"/>
  <c r="J512" i="24"/>
  <c r="J506" i="24"/>
  <c r="J501" i="24"/>
  <c r="J495" i="24"/>
  <c r="J468" i="24"/>
  <c r="J464" i="24"/>
  <c r="J449" i="24"/>
  <c r="J448" i="24"/>
  <c r="J442" i="24"/>
  <c r="J425" i="24"/>
  <c r="J420" i="24"/>
  <c r="J419" i="24"/>
  <c r="J404" i="24"/>
  <c r="J398" i="24"/>
  <c r="J390" i="24"/>
  <c r="J389" i="24"/>
  <c r="J354" i="24"/>
  <c r="J348" i="24"/>
  <c r="J342" i="24"/>
  <c r="J224" i="24"/>
  <c r="J188" i="24"/>
  <c r="J37" i="24"/>
  <c r="J25" i="24"/>
  <c r="J15" i="24"/>
  <c r="J14" i="24"/>
  <c r="J11" i="24"/>
  <c r="J10" i="24"/>
  <c r="J6" i="24"/>
  <c r="J773" i="24"/>
  <c r="J765" i="24"/>
  <c r="J760" i="24"/>
  <c r="J758" i="24"/>
  <c r="J753" i="24"/>
  <c r="J744" i="24"/>
  <c r="J743" i="24"/>
  <c r="J638" i="24"/>
  <c r="J624" i="24"/>
  <c r="J241" i="24"/>
  <c r="J238" i="24"/>
  <c r="J236" i="24"/>
  <c r="J225" i="24"/>
  <c r="J216" i="24"/>
  <c r="J953" i="24"/>
  <c r="J109" i="24"/>
  <c r="J618" i="24"/>
  <c r="J615" i="24"/>
  <c r="J577" i="24"/>
  <c r="J567" i="24"/>
  <c r="J560" i="24"/>
  <c r="J558" i="24"/>
  <c r="J557" i="24"/>
  <c r="J527" i="24"/>
  <c r="J517" i="24"/>
  <c r="J516" i="24"/>
  <c r="J507" i="24"/>
  <c r="J504" i="24"/>
  <c r="J503" i="24"/>
  <c r="J479" i="24"/>
  <c r="J452" i="24"/>
  <c r="J451" i="24"/>
  <c r="J450" i="24"/>
  <c r="J440" i="24"/>
  <c r="J439" i="24"/>
  <c r="J438" i="24"/>
  <c r="J436" i="24"/>
  <c r="J430" i="24"/>
  <c r="J421" i="24"/>
  <c r="J409" i="24"/>
  <c r="J402" i="24"/>
  <c r="J383" i="24"/>
  <c r="J360" i="24"/>
  <c r="J337" i="24"/>
  <c r="J28" i="24"/>
  <c r="J22" i="24"/>
  <c r="J7" i="24"/>
  <c r="J5" i="24"/>
  <c r="J3" i="24"/>
  <c r="J226" i="24"/>
  <c r="J599" i="24"/>
  <c r="J585" i="24"/>
  <c r="J575" i="24"/>
  <c r="J573" i="24"/>
  <c r="J571" i="24"/>
  <c r="J568" i="24"/>
  <c r="J561" i="24"/>
  <c r="J530" i="24"/>
  <c r="J528" i="24"/>
  <c r="J502" i="24"/>
  <c r="J500" i="24"/>
  <c r="J488" i="24"/>
  <c r="J475" i="24"/>
  <c r="J461" i="24"/>
  <c r="J432" i="24"/>
  <c r="J431" i="24"/>
  <c r="J424" i="24"/>
  <c r="J423" i="24"/>
  <c r="J386" i="24"/>
  <c r="J384" i="24"/>
  <c r="J381" i="24"/>
  <c r="J376" i="24"/>
  <c r="J371" i="24"/>
  <c r="J357" i="24"/>
  <c r="J351" i="24"/>
  <c r="J341" i="24"/>
  <c r="J333" i="24"/>
  <c r="J332" i="24"/>
  <c r="J200" i="24"/>
  <c r="J47" i="24"/>
  <c r="J39" i="24"/>
  <c r="J35" i="24"/>
  <c r="J33" i="24"/>
  <c r="J32" i="24"/>
  <c r="J30" i="24"/>
  <c r="J20" i="24"/>
  <c r="J8" i="24"/>
  <c r="J778" i="24"/>
  <c r="J776" i="24"/>
  <c r="J775" i="24"/>
  <c r="J768" i="24"/>
  <c r="J735" i="24"/>
  <c r="J731" i="24"/>
  <c r="J730" i="24"/>
  <c r="J727" i="24"/>
  <c r="J726" i="24"/>
  <c r="J722" i="24"/>
  <c r="J710" i="24"/>
  <c r="J709" i="24"/>
  <c r="J666" i="24"/>
  <c r="J658" i="24"/>
  <c r="J652" i="24"/>
  <c r="J651" i="24"/>
  <c r="J650" i="24"/>
  <c r="J644" i="24"/>
  <c r="J643" i="24"/>
  <c r="J637" i="24"/>
  <c r="J636" i="24"/>
  <c r="J632" i="24"/>
  <c r="J623" i="24"/>
  <c r="J280" i="24"/>
  <c r="J227" i="24"/>
  <c r="J91" i="24"/>
  <c r="J619" i="24"/>
  <c r="J602" i="24"/>
  <c r="J564" i="24"/>
  <c r="J559" i="24"/>
  <c r="J550" i="24"/>
  <c r="J548" i="24"/>
  <c r="J543" i="24"/>
  <c r="J541" i="24"/>
  <c r="J520" i="24"/>
  <c r="J508" i="24"/>
  <c r="J489" i="24"/>
  <c r="J472" i="24"/>
  <c r="J458" i="24"/>
  <c r="J447" i="24"/>
  <c r="J446" i="24"/>
  <c r="J445" i="24"/>
  <c r="J380" i="24"/>
  <c r="J366" i="24"/>
  <c r="J343" i="24"/>
  <c r="J329" i="24"/>
  <c r="J221" i="24"/>
  <c r="J220" i="24"/>
  <c r="J23" i="24"/>
  <c r="J764" i="24"/>
  <c r="J569" i="24"/>
  <c r="J565" i="24"/>
  <c r="J563" i="24"/>
  <c r="J526" i="24"/>
  <c r="J459" i="24"/>
  <c r="J457" i="24"/>
  <c r="J394" i="24"/>
  <c r="J391" i="24"/>
  <c r="J888" i="24"/>
  <c r="J923" i="24"/>
  <c r="J19" i="24"/>
  <c r="J974" i="24"/>
  <c r="J973" i="24"/>
  <c r="J960" i="24"/>
  <c r="J958" i="24"/>
  <c r="J782" i="24"/>
  <c r="J777" i="24"/>
  <c r="J774" i="24"/>
  <c r="J772" i="24"/>
  <c r="J771" i="24"/>
  <c r="J770" i="24"/>
  <c r="J769" i="24"/>
  <c r="J763" i="24"/>
  <c r="J761" i="24"/>
  <c r="J759" i="24"/>
  <c r="J741" i="24"/>
  <c r="J733" i="24"/>
  <c r="J732" i="24"/>
  <c r="J723" i="24"/>
  <c r="J719" i="24"/>
  <c r="J718" i="24"/>
  <c r="J714" i="24"/>
  <c r="J707" i="24"/>
  <c r="J702" i="24"/>
  <c r="J701" i="24"/>
  <c r="J700" i="24"/>
  <c r="J699" i="24"/>
  <c r="J694" i="24"/>
  <c r="J693" i="24"/>
  <c r="J689" i="24"/>
  <c r="J684" i="24"/>
  <c r="J665" i="24"/>
  <c r="J664" i="24"/>
  <c r="J660" i="24"/>
  <c r="J656" i="24"/>
  <c r="J655" i="24"/>
  <c r="J654" i="24"/>
  <c r="J653" i="24"/>
  <c r="J649" i="24"/>
  <c r="J639" i="24"/>
  <c r="J634" i="24"/>
  <c r="J633" i="24"/>
  <c r="J630" i="24"/>
  <c r="J233" i="24"/>
  <c r="J228" i="24"/>
  <c r="J180" i="24"/>
  <c r="J161" i="24"/>
  <c r="J119" i="24"/>
  <c r="J104" i="24"/>
  <c r="J60" i="24"/>
  <c r="J620" i="24"/>
  <c r="J613" i="24"/>
  <c r="J610" i="24"/>
  <c r="J556" i="24"/>
  <c r="J555" i="24"/>
  <c r="J554" i="24"/>
  <c r="J553" i="24"/>
  <c r="J551" i="24"/>
  <c r="J546" i="24"/>
  <c r="J545" i="24"/>
  <c r="J539" i="24"/>
  <c r="J532" i="24"/>
  <c r="J529" i="24"/>
  <c r="J524" i="24"/>
  <c r="J522" i="24"/>
  <c r="J521" i="24"/>
  <c r="J515" i="24"/>
  <c r="J514" i="24"/>
  <c r="J513" i="24"/>
  <c r="J492" i="24"/>
  <c r="J477" i="24"/>
  <c r="J469" i="24"/>
  <c r="J462" i="24"/>
  <c r="J443" i="24"/>
  <c r="J429" i="24"/>
  <c r="J427" i="24"/>
  <c r="J373" i="24"/>
  <c r="J372" i="24"/>
  <c r="J331" i="24"/>
  <c r="J330" i="24"/>
  <c r="J43" i="24"/>
  <c r="J36" i="24"/>
  <c r="J31" i="24"/>
  <c r="J29" i="24"/>
  <c r="J954" i="24"/>
  <c r="J752" i="24"/>
  <c r="J751" i="24"/>
  <c r="J749" i="24"/>
  <c r="J745" i="24"/>
  <c r="J742" i="24"/>
  <c r="J713" i="24"/>
  <c r="J712" i="24"/>
  <c r="J708" i="24"/>
  <c r="J683" i="24"/>
  <c r="J657" i="24"/>
  <c r="J625" i="24"/>
  <c r="J232" i="24"/>
  <c r="J572" i="24"/>
  <c r="J537" i="24"/>
  <c r="J534" i="24"/>
  <c r="J437" i="24"/>
  <c r="J435" i="24"/>
  <c r="J873" i="24"/>
  <c r="J460" i="24"/>
  <c r="J434" i="24"/>
  <c r="J335" i="24"/>
  <c r="J414" i="24"/>
  <c r="J369" i="24"/>
  <c r="J362" i="24"/>
  <c r="J413" i="24"/>
  <c r="J927" i="24"/>
  <c r="J617" i="24"/>
  <c r="J603" i="24"/>
  <c r="J562" i="24"/>
  <c r="J547" i="24"/>
  <c r="J533" i="24"/>
  <c r="J542" i="24"/>
  <c r="J223" i="24"/>
  <c r="J162" i="24"/>
  <c r="J42" i="24"/>
  <c r="J827" i="24"/>
  <c r="J832" i="24"/>
  <c r="J919" i="24"/>
  <c r="J679" i="24"/>
  <c r="J454" i="24"/>
  <c r="J444" i="24"/>
  <c r="J433" i="24"/>
  <c r="J428" i="24"/>
  <c r="J412" i="24"/>
  <c r="J407" i="24"/>
  <c r="J456" i="24"/>
  <c r="J811" i="24"/>
  <c r="J907" i="24"/>
  <c r="J607" i="24"/>
  <c r="J48" i="24"/>
  <c r="J364" i="24"/>
  <c r="J355" i="24"/>
  <c r="J338" i="24"/>
  <c r="J260" i="24"/>
  <c r="J45" i="24"/>
  <c r="J235" i="24"/>
  <c r="J397" i="24"/>
  <c r="J370" i="24"/>
  <c r="J363" i="24"/>
  <c r="J356" i="24"/>
  <c r="J336" i="24"/>
  <c r="J453" i="24"/>
  <c r="J326" i="24"/>
  <c r="J46" i="24"/>
  <c r="J962" i="24"/>
  <c r="J965" i="24"/>
  <c r="J595" i="24"/>
  <c r="J592" i="24"/>
  <c r="J812" i="24"/>
  <c r="J896" i="24"/>
  <c r="J852" i="24"/>
  <c r="J115" i="24"/>
  <c r="J909" i="24"/>
  <c r="J328" i="24"/>
  <c r="J535" i="24"/>
  <c r="J531" i="24"/>
  <c r="J578" i="24"/>
  <c r="J455" i="24"/>
  <c r="J917" i="24"/>
  <c r="J908" i="24"/>
  <c r="J905" i="24"/>
  <c r="J676" i="24"/>
  <c r="J767" i="24"/>
  <c r="J748" i="24"/>
  <c r="J887" i="24"/>
  <c r="J945" i="24"/>
  <c r="I799" i="24"/>
  <c r="J799" i="24"/>
  <c r="J408" i="24"/>
  <c r="J345" i="24"/>
  <c r="J736" i="24"/>
  <c r="J728" i="24"/>
  <c r="J597" i="24"/>
  <c r="J590" i="24"/>
  <c r="J509" i="24"/>
  <c r="J481" i="24"/>
  <c r="J478" i="24"/>
  <c r="J471" i="24"/>
  <c r="J491" i="24"/>
  <c r="J480" i="24"/>
  <c r="J616" i="24"/>
  <c r="J485" i="24"/>
  <c r="J483" i="24"/>
  <c r="J106" i="24"/>
  <c r="J52" i="24"/>
  <c r="J579" i="24"/>
  <c r="J334" i="24"/>
  <c r="J583" i="24"/>
  <c r="J470" i="24"/>
  <c r="J498" i="24"/>
  <c r="J600" i="24"/>
  <c r="J510" i="24"/>
  <c r="J505" i="24"/>
  <c r="J972" i="24"/>
  <c r="J940" i="24"/>
  <c r="J474" i="24"/>
  <c r="J231" i="24"/>
  <c r="J605" i="24"/>
  <c r="J584" i="24"/>
  <c r="J230" i="24"/>
  <c r="J698" i="24"/>
  <c r="J612" i="24"/>
  <c r="J606" i="24"/>
  <c r="J867" i="24"/>
  <c r="J916" i="24"/>
  <c r="J910" i="24"/>
  <c r="J685" i="24"/>
  <c r="J237" i="24"/>
  <c r="J608" i="24"/>
  <c r="J594" i="24"/>
  <c r="J697" i="24"/>
  <c r="J609" i="24"/>
  <c r="J601" i="24"/>
  <c r="J588" i="24"/>
  <c r="J586" i="24"/>
  <c r="J499" i="24"/>
  <c r="J496" i="24"/>
  <c r="J493" i="24"/>
  <c r="J490" i="24"/>
  <c r="J486" i="24"/>
  <c r="J473" i="24"/>
  <c r="J822" i="24"/>
  <c r="J703" i="24"/>
  <c r="J807" i="24"/>
  <c r="J813" i="24"/>
  <c r="J925" i="24"/>
  <c r="J920" i="24"/>
  <c r="J823" i="24"/>
  <c r="J918" i="24"/>
  <c r="J900" i="24"/>
  <c r="J891" i="24"/>
  <c r="J803" i="24"/>
  <c r="J379" i="24"/>
  <c r="J222" i="24"/>
  <c r="J152" i="24"/>
  <c r="J44" i="24"/>
  <c r="J41" i="24"/>
  <c r="J27" i="24"/>
  <c r="J942" i="24"/>
  <c r="J969" i="24"/>
  <c r="J815" i="24"/>
  <c r="J834" i="24"/>
  <c r="J234" i="24"/>
  <c r="J323" i="24"/>
  <c r="J465" i="24"/>
  <c r="J367" i="24"/>
  <c r="J340" i="24"/>
  <c r="J890" i="24"/>
  <c r="J963" i="24"/>
  <c r="J938" i="24"/>
  <c r="J814" i="24"/>
  <c r="J796" i="24"/>
  <c r="J76" i="24"/>
  <c r="J591" i="24"/>
  <c r="J587" i="24"/>
  <c r="J673" i="24"/>
  <c r="J58" i="24"/>
  <c r="J611" i="24"/>
  <c r="J795" i="24"/>
  <c r="J163" i="24"/>
  <c r="J596" i="24"/>
  <c r="J589" i="24"/>
  <c r="J417" i="24"/>
  <c r="J406" i="24"/>
  <c r="J401" i="24"/>
  <c r="J396" i="24"/>
  <c r="J361" i="24"/>
  <c r="J40" i="24"/>
  <c r="J24" i="24"/>
  <c r="J339" i="24"/>
  <c r="J950" i="24"/>
  <c r="J690" i="24"/>
  <c r="J677" i="24"/>
  <c r="J952" i="24"/>
  <c r="J937" i="24"/>
  <c r="J399" i="24"/>
  <c r="J711" i="24"/>
  <c r="J939" i="24"/>
  <c r="J358" i="24"/>
  <c r="J725" i="24"/>
  <c r="J675" i="24"/>
  <c r="J552" i="24"/>
  <c r="J487" i="24"/>
  <c r="J484" i="24"/>
  <c r="J482" i="24"/>
  <c r="J476" i="24"/>
  <c r="J416" i="24"/>
  <c r="J405" i="24"/>
  <c r="J393" i="24"/>
  <c r="J377" i="24"/>
  <c r="J574" i="24"/>
  <c r="J540" i="24"/>
  <c r="J523" i="24"/>
  <c r="J511" i="24"/>
  <c r="J497" i="24"/>
  <c r="J415" i="24"/>
  <c r="J411" i="24"/>
  <c r="J392" i="24"/>
  <c r="J382" i="24"/>
  <c r="J353" i="24"/>
  <c r="J400" i="24"/>
  <c r="J21" i="24"/>
  <c r="J18" i="24"/>
  <c r="J17" i="24"/>
  <c r="J13" i="24"/>
  <c r="J9" i="24"/>
  <c r="J4" i="24"/>
  <c r="J903" i="24"/>
  <c r="J882" i="24"/>
  <c r="J805" i="24"/>
  <c r="J797" i="24"/>
  <c r="J740" i="24"/>
  <c r="J738" i="24"/>
  <c r="J724" i="24"/>
  <c r="J688" i="24"/>
  <c r="J671" i="24"/>
  <c r="J668" i="24"/>
  <c r="J346" i="24"/>
  <c r="J936" i="24"/>
  <c r="J806" i="24"/>
  <c r="J734" i="24"/>
  <c r="J721" i="24"/>
  <c r="J716" i="24"/>
  <c r="J403" i="24"/>
  <c r="J359" i="24"/>
  <c r="J695" i="24"/>
  <c r="J737" i="24"/>
  <c r="J678" i="24"/>
  <c r="J692" i="24"/>
  <c r="J930" i="24"/>
  <c r="J785" i="24"/>
  <c r="J148" i="24"/>
  <c r="J267" i="24"/>
  <c r="J325" i="24"/>
  <c r="J324" i="24"/>
  <c r="J322" i="24"/>
  <c r="J282" i="24"/>
  <c r="J79" i="24"/>
  <c r="J34" i="24"/>
  <c r="J26" i="24"/>
  <c r="J12" i="24"/>
  <c r="J344" i="24"/>
  <c r="J857" i="24"/>
  <c r="J968" i="24"/>
  <c r="J862" i="24"/>
  <c r="J858" i="24"/>
  <c r="J855" i="24"/>
  <c r="J839" i="24"/>
  <c r="J836" i="24"/>
  <c r="J824" i="24"/>
  <c r="J667" i="24"/>
  <c r="J418" i="24"/>
  <c r="J410" i="24"/>
  <c r="J395" i="24"/>
  <c r="J388" i="24"/>
  <c r="J385" i="24"/>
  <c r="J378" i="24"/>
  <c r="J368" i="24"/>
  <c r="J365" i="24"/>
  <c r="J352" i="24"/>
  <c r="J349" i="24"/>
  <c r="J966" i="24"/>
  <c r="J897" i="24"/>
  <c r="J932" i="24"/>
  <c r="J842" i="24"/>
  <c r="J830" i="24"/>
  <c r="J883" i="24"/>
  <c r="J659" i="24"/>
  <c r="J463" i="24"/>
  <c r="J846" i="24"/>
  <c r="J913" i="24"/>
  <c r="J912" i="24"/>
  <c r="J845" i="24"/>
  <c r="J219" i="24"/>
  <c r="J218" i="24"/>
  <c r="J213" i="24"/>
  <c r="J211" i="24"/>
  <c r="J210" i="24"/>
  <c r="J209" i="24"/>
  <c r="J204" i="24"/>
  <c r="J203" i="24"/>
  <c r="J201" i="24"/>
  <c r="J467" i="24"/>
  <c r="J466" i="24"/>
  <c r="J154" i="24"/>
  <c r="J901" i="24"/>
  <c r="J915" i="24"/>
  <c r="J899" i="24"/>
  <c r="J941" i="24"/>
  <c r="J870" i="24"/>
  <c r="J967" i="24"/>
  <c r="J804" i="24"/>
  <c r="J853" i="24"/>
  <c r="J935" i="24"/>
  <c r="J825" i="24"/>
  <c r="I808" i="24"/>
  <c r="J808" i="24"/>
  <c r="J800" i="24"/>
  <c r="J794" i="24"/>
  <c r="J580" i="24"/>
  <c r="J426" i="24"/>
  <c r="J422" i="24"/>
  <c r="J387" i="24"/>
  <c r="J350" i="24"/>
  <c r="J898" i="24"/>
  <c r="J874" i="24"/>
  <c r="J943" i="24"/>
  <c r="J838" i="24"/>
  <c r="J933" i="24"/>
  <c r="J876" i="24"/>
  <c r="J964" i="24"/>
  <c r="J860" i="24"/>
  <c r="J961" i="24"/>
  <c r="J949" i="24"/>
  <c r="J948" i="24"/>
  <c r="J947" i="24"/>
  <c r="J946" i="24"/>
  <c r="J828" i="24"/>
  <c r="J902" i="24"/>
  <c r="J934" i="24"/>
  <c r="J809" i="24"/>
  <c r="J801" i="24"/>
  <c r="J598" i="24"/>
  <c r="J347" i="24"/>
  <c r="J787" i="24"/>
  <c r="J944" i="24"/>
  <c r="J885" i="24"/>
  <c r="J849" i="24"/>
  <c r="J895" i="24"/>
  <c r="J911" i="24"/>
  <c r="J762" i="24"/>
  <c r="J754" i="24"/>
  <c r="J957" i="24"/>
  <c r="J816" i="24"/>
  <c r="J757" i="24"/>
  <c r="J756" i="24"/>
  <c r="J780" i="24"/>
  <c r="J739" i="24"/>
  <c r="J717" i="24"/>
  <c r="J704" i="24"/>
  <c r="J663" i="24"/>
  <c r="J321" i="24"/>
  <c r="J320" i="24"/>
  <c r="J319" i="24"/>
  <c r="J318" i="24"/>
  <c r="J317" i="24"/>
  <c r="J240" i="24"/>
  <c r="J239" i="24"/>
  <c r="J116" i="24"/>
  <c r="J114" i="24"/>
  <c r="J113" i="24"/>
  <c r="J112" i="24"/>
  <c r="J108" i="24"/>
  <c r="J107" i="24"/>
  <c r="J105" i="24"/>
  <c r="J103" i="24"/>
  <c r="J102" i="24"/>
  <c r="J101" i="24"/>
  <c r="J100" i="24"/>
  <c r="J93" i="24"/>
  <c r="J90" i="24"/>
  <c r="J89" i="24"/>
  <c r="J87" i="24"/>
  <c r="J86" i="24"/>
  <c r="J83" i="24"/>
  <c r="J582" i="24"/>
  <c r="J327" i="24"/>
  <c r="J784" i="24"/>
  <c r="J951" i="24"/>
  <c r="J956" i="24"/>
  <c r="J829" i="24"/>
  <c r="J955" i="24"/>
  <c r="J893" i="24"/>
  <c r="J931" i="24"/>
  <c r="J929" i="24"/>
  <c r="J928" i="24"/>
  <c r="J906" i="24"/>
  <c r="J894" i="24"/>
  <c r="J877" i="24"/>
  <c r="J921" i="24"/>
  <c r="J863" i="24"/>
  <c r="J132" i="24"/>
  <c r="J131" i="24"/>
  <c r="J130" i="24"/>
  <c r="J125" i="24"/>
  <c r="J118" i="24"/>
  <c r="J117" i="24"/>
  <c r="J375" i="24"/>
  <c r="J374" i="24"/>
  <c r="J831" i="24"/>
  <c r="J922" i="24"/>
  <c r="J818" i="24"/>
  <c r="J817" i="24"/>
  <c r="J802" i="24"/>
  <c r="J790" i="24"/>
  <c r="J970" i="24"/>
  <c r="J781" i="24"/>
  <c r="J766" i="24"/>
  <c r="J959" i="24"/>
  <c r="J875" i="24"/>
  <c r="J841" i="24"/>
  <c r="J840" i="24"/>
  <c r="J837" i="24"/>
  <c r="J835" i="24"/>
  <c r="J833" i="24"/>
  <c r="J826" i="24"/>
  <c r="J868" i="24"/>
  <c r="J851" i="24"/>
  <c r="J850" i="24"/>
  <c r="J847" i="24"/>
  <c r="J844" i="24"/>
  <c r="J310" i="24"/>
  <c r="J305" i="24"/>
  <c r="J301" i="24"/>
  <c r="J300" i="24"/>
  <c r="J294" i="24"/>
  <c r="J293" i="24"/>
  <c r="J292" i="24"/>
  <c r="J291" i="24"/>
  <c r="J289" i="24"/>
  <c r="J287" i="24"/>
  <c r="J284" i="24"/>
  <c r="J283" i="24"/>
  <c r="J279" i="24"/>
  <c r="J278" i="24"/>
  <c r="J277" i="24"/>
  <c r="J276" i="24"/>
  <c r="J275" i="24"/>
  <c r="J274" i="24"/>
  <c r="J264" i="24"/>
  <c r="J263" i="24"/>
  <c r="J262" i="24"/>
  <c r="J261" i="24"/>
  <c r="J258" i="24"/>
  <c r="J257" i="24"/>
  <c r="J256" i="24"/>
  <c r="J255" i="24"/>
  <c r="J254" i="24"/>
  <c r="J251" i="24"/>
  <c r="J250" i="24"/>
  <c r="J249" i="24"/>
  <c r="J248" i="24"/>
  <c r="J247" i="24"/>
  <c r="J245" i="24"/>
  <c r="J621" i="24"/>
  <c r="J570" i="24"/>
  <c r="J566" i="24"/>
  <c r="J75" i="24"/>
  <c r="J74" i="24"/>
  <c r="J73" i="24"/>
  <c r="J72" i="24"/>
  <c r="J71" i="24"/>
  <c r="J70" i="24"/>
  <c r="J65" i="24"/>
  <c r="J64" i="24"/>
  <c r="J63" i="24"/>
  <c r="J62" i="24"/>
  <c r="J61" i="24"/>
  <c r="J59" i="24"/>
  <c r="J57" i="24"/>
  <c r="J56" i="24"/>
  <c r="J55" i="24"/>
  <c r="J54" i="24"/>
  <c r="J51" i="24"/>
  <c r="J50" i="24"/>
  <c r="J536" i="24"/>
  <c r="J194" i="24"/>
  <c r="J193" i="24"/>
  <c r="J192" i="24"/>
  <c r="J191" i="24"/>
  <c r="J187" i="24"/>
  <c r="J186" i="24"/>
  <c r="J185" i="24"/>
  <c r="J184" i="24"/>
  <c r="J183" i="24"/>
  <c r="J182" i="24"/>
  <c r="J181" i="24"/>
  <c r="J179" i="24"/>
  <c r="J178" i="24"/>
  <c r="J177" i="24"/>
  <c r="J176" i="24"/>
  <c r="J175" i="24"/>
  <c r="J171" i="24"/>
  <c r="J170" i="24"/>
  <c r="J169" i="24"/>
  <c r="J168" i="24"/>
  <c r="J167" i="24"/>
  <c r="J166" i="24"/>
  <c r="J165" i="24"/>
  <c r="J164" i="24"/>
  <c r="J158" i="24"/>
  <c r="J157" i="24"/>
  <c r="J156" i="24"/>
  <c r="J155" i="24"/>
  <c r="J151" i="24"/>
  <c r="J150" i="24"/>
  <c r="J149" i="24"/>
  <c r="J144" i="24"/>
  <c r="J142" i="24"/>
  <c r="J141" i="24"/>
  <c r="J140" i="24"/>
  <c r="J139" i="24"/>
  <c r="J137" i="24"/>
  <c r="J136" i="24"/>
  <c r="J135" i="24"/>
  <c r="J134" i="24"/>
  <c r="J16" i="24"/>
  <c r="J892" i="24"/>
  <c r="J926" i="24"/>
  <c r="J924" i="24"/>
  <c r="J810" i="24"/>
  <c r="J779" i="24"/>
  <c r="J904" i="24"/>
  <c r="J880" i="24"/>
  <c r="J747" i="24"/>
  <c r="J889" i="24"/>
  <c r="J881" i="24"/>
  <c r="J820" i="24"/>
  <c r="J884" i="24"/>
  <c r="J914" i="24"/>
  <c r="J843" i="24"/>
  <c r="J687" i="24"/>
  <c r="J879" i="24"/>
  <c r="J750" i="24"/>
  <c r="J720" i="24"/>
  <c r="J872" i="24"/>
  <c r="J871" i="24"/>
  <c r="J869" i="24"/>
  <c r="J865" i="24"/>
  <c r="J864" i="24"/>
  <c r="J861" i="24"/>
  <c r="J859" i="24"/>
  <c r="J856" i="24"/>
  <c r="J854" i="24"/>
  <c r="J848" i="24"/>
  <c r="J821" i="24"/>
  <c r="J793" i="24"/>
  <c r="J198" i="24"/>
  <c r="J197" i="24"/>
  <c r="J196" i="24"/>
  <c r="J195" i="24"/>
  <c r="J190" i="24"/>
  <c r="J189" i="24"/>
  <c r="J174" i="24"/>
  <c r="J173" i="24"/>
  <c r="J172" i="24"/>
  <c r="J160" i="24"/>
  <c r="J159" i="24"/>
  <c r="J153" i="24"/>
  <c r="J147" i="24"/>
  <c r="J146" i="24"/>
  <c r="J145" i="24"/>
  <c r="J143" i="24"/>
  <c r="J138" i="24"/>
  <c r="J494" i="24"/>
  <c r="J316" i="24"/>
  <c r="J315" i="24"/>
  <c r="J314" i="24"/>
  <c r="J313" i="24"/>
  <c r="J312" i="24"/>
  <c r="J311" i="24"/>
  <c r="J309" i="24"/>
  <c r="J308" i="24"/>
  <c r="J307" i="24"/>
  <c r="J306" i="24"/>
  <c r="J304" i="24"/>
  <c r="J303" i="24"/>
  <c r="J302" i="24"/>
  <c r="J299" i="24"/>
  <c r="J298" i="24"/>
  <c r="J297" i="24"/>
  <c r="J296" i="24"/>
  <c r="J295" i="24"/>
  <c r="J290" i="24"/>
  <c r="J288" i="24"/>
  <c r="J286" i="24"/>
  <c r="J285" i="24"/>
  <c r="J281" i="24"/>
  <c r="J273" i="24"/>
  <c r="J272" i="24"/>
  <c r="J271" i="24"/>
  <c r="J270" i="24"/>
  <c r="J269" i="24"/>
  <c r="J268" i="24"/>
  <c r="J266" i="24"/>
  <c r="J265" i="24"/>
  <c r="J253" i="24"/>
  <c r="J252" i="24"/>
  <c r="J246" i="24"/>
  <c r="J244" i="24"/>
  <c r="J243" i="24"/>
  <c r="J242" i="24"/>
  <c r="J217" i="24"/>
  <c r="J215" i="24"/>
  <c r="J214" i="24"/>
  <c r="J212" i="24"/>
  <c r="J208" i="24"/>
  <c r="J207" i="24"/>
  <c r="J206" i="24"/>
  <c r="J205" i="24"/>
  <c r="J202" i="24"/>
  <c r="J199" i="24"/>
  <c r="J133" i="24"/>
  <c r="J129" i="24"/>
  <c r="J128" i="24"/>
  <c r="J127" i="24"/>
  <c r="J124" i="24"/>
  <c r="J123" i="24"/>
  <c r="J122" i="24"/>
  <c r="J121" i="24"/>
  <c r="J120" i="24"/>
  <c r="J111" i="24"/>
  <c r="J110" i="24"/>
  <c r="J99" i="24"/>
  <c r="J98" i="24"/>
  <c r="J97" i="24"/>
  <c r="J96" i="24"/>
  <c r="J95" i="24"/>
  <c r="J94" i="24"/>
  <c r="J92" i="24"/>
  <c r="J88" i="24"/>
  <c r="J85" i="24"/>
  <c r="J82" i="24"/>
  <c r="J81" i="24"/>
  <c r="J80" i="24"/>
  <c r="J78" i="24"/>
  <c r="J77" i="24"/>
  <c r="J69" i="24"/>
  <c r="J68" i="24"/>
  <c r="J67" i="24"/>
  <c r="J66" i="24"/>
  <c r="J53" i="24"/>
  <c r="J49" i="24"/>
  <c r="J886" i="24"/>
  <c r="J755" i="24"/>
  <c r="J706" i="24"/>
  <c r="J971" i="24"/>
  <c r="J878" i="24"/>
  <c r="J866" i="24"/>
  <c r="I126" i="24"/>
  <c r="I604" i="24"/>
  <c r="I441" i="24"/>
  <c r="I390" i="24"/>
  <c r="I354" i="24"/>
  <c r="I413" i="24"/>
  <c r="I693" i="24"/>
  <c r="I665" i="24"/>
  <c r="I751" i="24"/>
  <c r="I742" i="24"/>
  <c r="I669" i="24"/>
  <c r="I672" i="24"/>
  <c r="I680" i="24"/>
  <c r="I674" i="24"/>
  <c r="I705" i="24"/>
  <c r="I696" i="24"/>
  <c r="I614" i="24"/>
  <c r="I512" i="24"/>
  <c r="I506" i="24"/>
  <c r="I468" i="24"/>
  <c r="I464" i="24"/>
  <c r="I342" i="24"/>
  <c r="I6" i="24"/>
  <c r="I765" i="24"/>
  <c r="I236" i="24"/>
  <c r="I216" i="24"/>
  <c r="I109" i="24"/>
  <c r="I560" i="24"/>
  <c r="I558" i="24"/>
  <c r="I557" i="24"/>
  <c r="I504" i="24"/>
  <c r="I503" i="24"/>
  <c r="I479" i="24"/>
  <c r="I452" i="24"/>
  <c r="I451" i="24"/>
  <c r="I450" i="24"/>
  <c r="I436" i="24"/>
  <c r="I360" i="24"/>
  <c r="I337" i="24"/>
  <c r="I22" i="24"/>
  <c r="I7" i="24"/>
  <c r="I5" i="24"/>
  <c r="I3" i="24"/>
  <c r="I585" i="24"/>
  <c r="I575" i="24"/>
  <c r="I573" i="24"/>
  <c r="I571" i="24"/>
  <c r="I475" i="24"/>
  <c r="I461" i="24"/>
  <c r="I424" i="24"/>
  <c r="I423" i="24"/>
  <c r="I381" i="24"/>
  <c r="I376" i="24"/>
  <c r="I371" i="24"/>
  <c r="I357" i="24"/>
  <c r="I341" i="24"/>
  <c r="I47" i="24"/>
  <c r="I30" i="24"/>
  <c r="I727" i="24"/>
  <c r="I722" i="24"/>
  <c r="I710" i="24"/>
  <c r="I658" i="24"/>
  <c r="I652" i="24"/>
  <c r="I651" i="24"/>
  <c r="I643" i="24"/>
  <c r="I602" i="24"/>
  <c r="I559" i="24"/>
  <c r="I548" i="24"/>
  <c r="I472" i="24"/>
  <c r="I366" i="24"/>
  <c r="I329" i="24"/>
  <c r="I764" i="24"/>
  <c r="I459" i="24"/>
  <c r="I457" i="24"/>
  <c r="I19" i="24"/>
  <c r="I974" i="24"/>
  <c r="I714" i="24"/>
  <c r="I694" i="24"/>
  <c r="I684" i="24"/>
  <c r="I634" i="24"/>
  <c r="I630" i="24"/>
  <c r="I161" i="24"/>
  <c r="I119" i="24"/>
  <c r="I620" i="24"/>
  <c r="I610" i="24"/>
  <c r="I551" i="24"/>
  <c r="I477" i="24"/>
  <c r="I429" i="24"/>
  <c r="I43" i="24"/>
  <c r="I798" i="24"/>
  <c r="I670" i="24"/>
  <c r="I786" i="24"/>
  <c r="I783" i="24"/>
  <c r="I746" i="24"/>
  <c r="I788" i="24"/>
  <c r="I791" i="24"/>
  <c r="I681" i="24"/>
  <c r="I792" i="24"/>
  <c r="I38" i="24"/>
  <c r="I789" i="24"/>
  <c r="I626" i="24"/>
  <c r="I729" i="24"/>
  <c r="I715" i="24"/>
  <c r="I691" i="24"/>
  <c r="I686" i="24"/>
  <c r="I682" i="24"/>
  <c r="I662" i="24"/>
  <c r="I661" i="24"/>
  <c r="I648" i="24"/>
  <c r="I647" i="24"/>
  <c r="I646" i="24"/>
  <c r="I645" i="24"/>
  <c r="I642" i="24"/>
  <c r="I641" i="24"/>
  <c r="I631" i="24"/>
  <c r="I628" i="24"/>
  <c r="I627" i="24"/>
  <c r="I229" i="24"/>
  <c r="I84" i="24"/>
  <c r="I593" i="24"/>
  <c r="I581" i="24"/>
  <c r="I544" i="24"/>
  <c r="I538" i="24"/>
  <c r="I525" i="24"/>
  <c r="I501" i="24"/>
  <c r="I495" i="24"/>
  <c r="I449" i="24"/>
  <c r="I425" i="24"/>
  <c r="I419" i="24"/>
  <c r="I389" i="24"/>
  <c r="I348" i="24"/>
  <c r="I25" i="24"/>
  <c r="I14" i="24"/>
  <c r="I10" i="24"/>
  <c r="I758" i="24"/>
  <c r="I753" i="24"/>
  <c r="I744" i="24"/>
  <c r="I638" i="24"/>
  <c r="I225" i="24"/>
  <c r="I618" i="24"/>
  <c r="I615" i="24"/>
  <c r="I517" i="24"/>
  <c r="I421" i="24"/>
  <c r="I226" i="24"/>
  <c r="I568" i="24"/>
  <c r="I561" i="24"/>
  <c r="I488" i="24"/>
  <c r="I431" i="24"/>
  <c r="I351" i="24"/>
  <c r="I333" i="24"/>
  <c r="I332" i="24"/>
  <c r="I200" i="24"/>
  <c r="I20" i="24"/>
  <c r="I8" i="24"/>
  <c r="I778" i="24"/>
  <c r="I775" i="24"/>
  <c r="I768" i="24"/>
  <c r="I735" i="24"/>
  <c r="I726" i="24"/>
  <c r="I709" i="24"/>
  <c r="I650" i="24"/>
  <c r="I644" i="24"/>
  <c r="I632" i="24"/>
  <c r="I280" i="24"/>
  <c r="I227" i="24"/>
  <c r="I619" i="24"/>
  <c r="I564" i="24"/>
  <c r="I550" i="24"/>
  <c r="I447" i="24"/>
  <c r="I569" i="24"/>
  <c r="I973" i="24"/>
  <c r="I777" i="24"/>
  <c r="I774" i="24"/>
  <c r="I770" i="24"/>
  <c r="I769" i="24"/>
  <c r="I763" i="24"/>
  <c r="I759" i="24"/>
  <c r="I723" i="24"/>
  <c r="I718" i="24"/>
  <c r="I702" i="24"/>
  <c r="I701" i="24"/>
  <c r="I699" i="24"/>
  <c r="I649" i="24"/>
  <c r="I233" i="24"/>
  <c r="I228" i="24"/>
  <c r="I180" i="24"/>
  <c r="I613" i="24"/>
  <c r="I556" i="24"/>
  <c r="I539" i="24"/>
  <c r="I532" i="24"/>
  <c r="I513" i="24"/>
  <c r="I469" i="24"/>
  <c r="I443" i="24"/>
  <c r="I373" i="24"/>
  <c r="I331" i="24"/>
  <c r="I330" i="24"/>
  <c r="I36" i="24"/>
  <c r="I29" i="24"/>
  <c r="I683" i="24"/>
  <c r="I657" i="24"/>
  <c r="I232" i="24"/>
  <c r="I537" i="24"/>
  <c r="I534" i="24"/>
  <c r="I437" i="24"/>
  <c r="I435" i="24"/>
  <c r="I460" i="24"/>
  <c r="I335" i="24"/>
  <c r="I414" i="24"/>
  <c r="I640" i="24"/>
  <c r="I635" i="24"/>
  <c r="I629" i="24"/>
  <c r="I622" i="24"/>
  <c r="I259" i="24"/>
  <c r="I576" i="24"/>
  <c r="I549" i="24"/>
  <c r="I519" i="24"/>
  <c r="I518" i="24"/>
  <c r="I448" i="24"/>
  <c r="I442" i="24"/>
  <c r="I420" i="24"/>
  <c r="I404" i="24"/>
  <c r="I398" i="24"/>
  <c r="I224" i="24"/>
  <c r="I188" i="24"/>
  <c r="I37" i="24"/>
  <c r="I15" i="24"/>
  <c r="I11" i="24"/>
  <c r="I773" i="24"/>
  <c r="I760" i="24"/>
  <c r="I743" i="24"/>
  <c r="I624" i="24"/>
  <c r="I241" i="24"/>
  <c r="I238" i="24"/>
  <c r="I953" i="24"/>
  <c r="I577" i="24"/>
  <c r="I567" i="24"/>
  <c r="I527" i="24"/>
  <c r="I516" i="24"/>
  <c r="I507" i="24"/>
  <c r="I440" i="24"/>
  <c r="I439" i="24"/>
  <c r="I438" i="24"/>
  <c r="I430" i="24"/>
  <c r="I409" i="24"/>
  <c r="I402" i="24"/>
  <c r="I383" i="24"/>
  <c r="I28" i="24"/>
  <c r="I599" i="24"/>
  <c r="I530" i="24"/>
  <c r="I528" i="24"/>
  <c r="I502" i="24"/>
  <c r="I500" i="24"/>
  <c r="I432" i="24"/>
  <c r="I386" i="24"/>
  <c r="I384" i="24"/>
  <c r="I39" i="24"/>
  <c r="I35" i="24"/>
  <c r="I33" i="24"/>
  <c r="I32" i="24"/>
  <c r="I776" i="24"/>
  <c r="I731" i="24"/>
  <c r="I730" i="24"/>
  <c r="I666" i="24"/>
  <c r="I637" i="24"/>
  <c r="I636" i="24"/>
  <c r="I623" i="24"/>
  <c r="I91" i="24"/>
  <c r="I543" i="24"/>
  <c r="I541" i="24"/>
  <c r="I520" i="24"/>
  <c r="I508" i="24"/>
  <c r="I489" i="24"/>
  <c r="I458" i="24"/>
  <c r="I446" i="24"/>
  <c r="I445" i="24"/>
  <c r="I380" i="24"/>
  <c r="I343" i="24"/>
  <c r="I221" i="24"/>
  <c r="I220" i="24"/>
  <c r="I23" i="24"/>
  <c r="I565" i="24"/>
  <c r="I563" i="24"/>
  <c r="I526" i="24"/>
  <c r="I394" i="24"/>
  <c r="I391" i="24"/>
  <c r="I888" i="24"/>
  <c r="I923" i="24"/>
  <c r="I960" i="24"/>
  <c r="I958" i="24"/>
  <c r="I782" i="24"/>
  <c r="I772" i="24"/>
  <c r="I771" i="24"/>
  <c r="I761" i="24"/>
  <c r="I741" i="24"/>
  <c r="I733" i="24"/>
  <c r="I732" i="24"/>
  <c r="I719" i="24"/>
  <c r="I707" i="24"/>
  <c r="I700" i="24"/>
  <c r="I689" i="24"/>
  <c r="I664" i="24"/>
  <c r="I660" i="24"/>
  <c r="I656" i="24"/>
  <c r="I655" i="24"/>
  <c r="I654" i="24"/>
  <c r="I653" i="24"/>
  <c r="I639" i="24"/>
  <c r="I633" i="24"/>
  <c r="I104" i="24"/>
  <c r="I60" i="24"/>
  <c r="I555" i="24"/>
  <c r="I554" i="24"/>
  <c r="I553" i="24"/>
  <c r="I546" i="24"/>
  <c r="I545" i="24"/>
  <c r="I529" i="24"/>
  <c r="I524" i="24"/>
  <c r="I522" i="24"/>
  <c r="I521" i="24"/>
  <c r="I515" i="24"/>
  <c r="I514" i="24"/>
  <c r="I492" i="24"/>
  <c r="I462" i="24"/>
  <c r="I427" i="24"/>
  <c r="I372" i="24"/>
  <c r="I31" i="24"/>
  <c r="I954" i="24"/>
  <c r="I752" i="24"/>
  <c r="I749" i="24"/>
  <c r="I745" i="24"/>
  <c r="I713" i="24"/>
  <c r="I712" i="24"/>
  <c r="I708" i="24"/>
  <c r="I625" i="24"/>
  <c r="I572" i="24"/>
  <c r="I873" i="24"/>
  <c r="I434" i="24"/>
  <c r="I369" i="24"/>
  <c r="I362" i="24"/>
  <c r="I44" i="24"/>
  <c r="I194" i="24"/>
  <c r="I323" i="24"/>
  <c r="I340" i="24"/>
  <c r="I927" i="24"/>
  <c r="I617" i="24"/>
  <c r="I603" i="24"/>
  <c r="I562" i="24"/>
  <c r="I547" i="24"/>
  <c r="I533" i="24"/>
  <c r="I542" i="24"/>
  <c r="I223" i="24"/>
  <c r="I162" i="24"/>
  <c r="I42" i="24"/>
  <c r="I454" i="24"/>
  <c r="I428" i="24"/>
  <c r="I412" i="24"/>
  <c r="I456" i="24"/>
  <c r="I364" i="24"/>
  <c r="I338" i="24"/>
  <c r="I235" i="24"/>
  <c r="I370" i="24"/>
  <c r="I363" i="24"/>
  <c r="I453" i="24"/>
  <c r="I595" i="24"/>
  <c r="I455" i="24"/>
  <c r="I590" i="24"/>
  <c r="I509" i="24"/>
  <c r="I491" i="24"/>
  <c r="I616" i="24"/>
  <c r="I583" i="24"/>
  <c r="I498" i="24"/>
  <c r="I505" i="24"/>
  <c r="I588" i="24"/>
  <c r="I827" i="24"/>
  <c r="I832" i="24"/>
  <c r="I444" i="24"/>
  <c r="I811" i="24"/>
  <c r="I356" i="24"/>
  <c r="I965" i="24"/>
  <c r="I592" i="24"/>
  <c r="I578" i="24"/>
  <c r="I345" i="24"/>
  <c r="I609" i="24"/>
  <c r="I486" i="24"/>
  <c r="I919" i="24"/>
  <c r="I679" i="24"/>
  <c r="I433" i="24"/>
  <c r="I407" i="24"/>
  <c r="I907" i="24"/>
  <c r="I607" i="24"/>
  <c r="I355" i="24"/>
  <c r="I260" i="24"/>
  <c r="I45" i="24"/>
  <c r="I397" i="24"/>
  <c r="I336" i="24"/>
  <c r="I326" i="24"/>
  <c r="I46" i="24"/>
  <c r="I962" i="24"/>
  <c r="I896" i="24"/>
  <c r="I852" i="24"/>
  <c r="I328" i="24"/>
  <c r="I945" i="24"/>
  <c r="I736" i="24"/>
  <c r="I481" i="24"/>
  <c r="I480" i="24"/>
  <c r="I52" i="24"/>
  <c r="I972" i="24"/>
  <c r="I698" i="24"/>
  <c r="I612" i="24"/>
  <c r="I601" i="24"/>
  <c r="I496" i="24"/>
  <c r="I822" i="24"/>
  <c r="I823" i="24"/>
  <c r="I48" i="24"/>
  <c r="I728" i="24"/>
  <c r="I697" i="24"/>
  <c r="I473" i="24"/>
  <c r="I703" i="24"/>
  <c r="I812" i="24"/>
  <c r="I115" i="24"/>
  <c r="I478" i="24"/>
  <c r="I579" i="24"/>
  <c r="I584" i="24"/>
  <c r="I942" i="24"/>
  <c r="I909" i="24"/>
  <c r="I471" i="24"/>
  <c r="I106" i="24"/>
  <c r="I940" i="24"/>
  <c r="I605" i="24"/>
  <c r="I606" i="24"/>
  <c r="I237" i="24"/>
  <c r="I586" i="24"/>
  <c r="I499" i="24"/>
  <c r="I925" i="24"/>
  <c r="I536" i="24"/>
  <c r="I535" i="24"/>
  <c r="I531" i="24"/>
  <c r="I676" i="24"/>
  <c r="I748" i="24"/>
  <c r="I408" i="24"/>
  <c r="I334" i="24"/>
  <c r="I920" i="24"/>
  <c r="I379" i="24"/>
  <c r="I234" i="24"/>
  <c r="I367" i="24"/>
  <c r="I426" i="24"/>
  <c r="I2" i="24"/>
  <c r="O2" i="24"/>
  <c r="Q2" i="24"/>
  <c r="K2" i="24"/>
  <c r="I917" i="24"/>
  <c r="I908" i="24"/>
  <c r="I905" i="24"/>
  <c r="I767" i="24"/>
  <c r="I485" i="24"/>
  <c r="I483" i="24"/>
  <c r="I600" i="24"/>
  <c r="I474" i="24"/>
  <c r="I230" i="24"/>
  <c r="I594" i="24"/>
  <c r="I490" i="24"/>
  <c r="I598" i="24"/>
  <c r="I887" i="24"/>
  <c r="I597" i="24"/>
  <c r="I470" i="24"/>
  <c r="I510" i="24"/>
  <c r="I867" i="24"/>
  <c r="I916" i="24"/>
  <c r="I910" i="24"/>
  <c r="I608" i="24"/>
  <c r="I231" i="24"/>
  <c r="I685" i="24"/>
  <c r="I493" i="24"/>
  <c r="I900" i="24"/>
  <c r="I891" i="24"/>
  <c r="I152" i="24"/>
  <c r="I969" i="24"/>
  <c r="I465" i="24"/>
  <c r="I350" i="24"/>
  <c r="I807" i="24"/>
  <c r="I813" i="24"/>
  <c r="I803" i="24"/>
  <c r="I815" i="24"/>
  <c r="I874" i="24"/>
  <c r="I876" i="24"/>
  <c r="I347" i="24"/>
  <c r="I918" i="24"/>
  <c r="I222" i="24"/>
  <c r="I41" i="24"/>
  <c r="I27" i="24"/>
  <c r="I834" i="24"/>
  <c r="I890" i="24"/>
  <c r="I963" i="24"/>
  <c r="I938" i="24"/>
  <c r="I814" i="24"/>
  <c r="I796" i="24"/>
  <c r="I76" i="24"/>
  <c r="I587" i="24"/>
  <c r="I673" i="24"/>
  <c r="I58" i="24"/>
  <c r="I611" i="24"/>
  <c r="I795" i="24"/>
  <c r="I589" i="24"/>
  <c r="I417" i="24"/>
  <c r="I406" i="24"/>
  <c r="I401" i="24"/>
  <c r="I396" i="24"/>
  <c r="I361" i="24"/>
  <c r="I24" i="24"/>
  <c r="I339" i="24"/>
  <c r="I677" i="24"/>
  <c r="I937" i="24"/>
  <c r="I399" i="24"/>
  <c r="I939" i="24"/>
  <c r="I358" i="24"/>
  <c r="I725" i="24"/>
  <c r="I675" i="24"/>
  <c r="I552" i="24"/>
  <c r="I487" i="24"/>
  <c r="I476" i="24"/>
  <c r="I416" i="24"/>
  <c r="I405" i="24"/>
  <c r="I377" i="24"/>
  <c r="I540" i="24"/>
  <c r="I497" i="24"/>
  <c r="I415" i="24"/>
  <c r="I392" i="24"/>
  <c r="I353" i="24"/>
  <c r="I400" i="24"/>
  <c r="I21" i="24"/>
  <c r="I18" i="24"/>
  <c r="I17" i="24"/>
  <c r="I13" i="24"/>
  <c r="I9" i="24"/>
  <c r="I4" i="24"/>
  <c r="I903" i="24"/>
  <c r="I882" i="24"/>
  <c r="I805" i="24"/>
  <c r="I740" i="24"/>
  <c r="I738" i="24"/>
  <c r="I688" i="24"/>
  <c r="I671" i="24"/>
  <c r="I668" i="24"/>
  <c r="I346" i="24"/>
  <c r="I936" i="24"/>
  <c r="I806" i="24"/>
  <c r="I734" i="24"/>
  <c r="I721" i="24"/>
  <c r="I403" i="24"/>
  <c r="I359" i="24"/>
  <c r="I695" i="24"/>
  <c r="I737" i="24"/>
  <c r="I678" i="24"/>
  <c r="I692" i="24"/>
  <c r="I930" i="24"/>
  <c r="I148" i="24"/>
  <c r="I267" i="24"/>
  <c r="I325" i="24"/>
  <c r="I324" i="24"/>
  <c r="I282" i="24"/>
  <c r="I26" i="24"/>
  <c r="I12" i="24"/>
  <c r="I344" i="24"/>
  <c r="I857" i="24"/>
  <c r="I395" i="24"/>
  <c r="I388" i="24"/>
  <c r="I385" i="24"/>
  <c r="I378" i="24"/>
  <c r="I368" i="24"/>
  <c r="I365" i="24"/>
  <c r="I349" i="24"/>
  <c r="I883" i="24"/>
  <c r="I463" i="24"/>
  <c r="I466" i="24"/>
  <c r="I154" i="24"/>
  <c r="I591" i="24"/>
  <c r="I40" i="24"/>
  <c r="I711" i="24"/>
  <c r="I482" i="24"/>
  <c r="I393" i="24"/>
  <c r="I574" i="24"/>
  <c r="I716" i="24"/>
  <c r="I79" i="24"/>
  <c r="I897" i="24"/>
  <c r="I163" i="24"/>
  <c r="I596" i="24"/>
  <c r="I690" i="24"/>
  <c r="I484" i="24"/>
  <c r="I411" i="24"/>
  <c r="I382" i="24"/>
  <c r="I797" i="24"/>
  <c r="I785" i="24"/>
  <c r="I322" i="24"/>
  <c r="I968" i="24"/>
  <c r="I824" i="24"/>
  <c r="I966" i="24"/>
  <c r="I967" i="24"/>
  <c r="I964" i="24"/>
  <c r="I950" i="24"/>
  <c r="I952" i="24"/>
  <c r="I523" i="24"/>
  <c r="I511" i="24"/>
  <c r="I724" i="24"/>
  <c r="I667" i="24"/>
  <c r="I580" i="24"/>
  <c r="I943" i="24"/>
  <c r="I961" i="24"/>
  <c r="I862" i="24"/>
  <c r="I858" i="24"/>
  <c r="I913" i="24"/>
  <c r="I912" i="24"/>
  <c r="I219" i="24"/>
  <c r="I218" i="24"/>
  <c r="I213" i="24"/>
  <c r="I211" i="24"/>
  <c r="I210" i="24"/>
  <c r="I209" i="24"/>
  <c r="I204" i="24"/>
  <c r="I203" i="24"/>
  <c r="I201" i="24"/>
  <c r="I915" i="24"/>
  <c r="I870" i="24"/>
  <c r="I804" i="24"/>
  <c r="I853" i="24"/>
  <c r="I860" i="24"/>
  <c r="I949" i="24"/>
  <c r="I948" i="24"/>
  <c r="I947" i="24"/>
  <c r="I946" i="24"/>
  <c r="I801" i="24"/>
  <c r="I34" i="24"/>
  <c r="I410" i="24"/>
  <c r="I352" i="24"/>
  <c r="I467" i="24"/>
  <c r="I941" i="24"/>
  <c r="I794" i="24"/>
  <c r="I422" i="24"/>
  <c r="I387" i="24"/>
  <c r="I252" i="24"/>
  <c r="I246" i="24"/>
  <c r="I215" i="24"/>
  <c r="I855" i="24"/>
  <c r="I839" i="24"/>
  <c r="I836" i="24"/>
  <c r="I418" i="24"/>
  <c r="I842" i="24"/>
  <c r="I830" i="24"/>
  <c r="I659" i="24"/>
  <c r="I846" i="24"/>
  <c r="I845" i="24"/>
  <c r="I901" i="24"/>
  <c r="I899" i="24"/>
  <c r="I825" i="24"/>
  <c r="I898" i="24"/>
  <c r="I838" i="24"/>
  <c r="I828" i="24"/>
  <c r="I932" i="24"/>
  <c r="I935" i="24"/>
  <c r="I800" i="24"/>
  <c r="I933" i="24"/>
  <c r="I809" i="24"/>
  <c r="I902" i="24"/>
  <c r="I934" i="24"/>
  <c r="I787" i="24"/>
  <c r="I895" i="24"/>
  <c r="I754" i="24"/>
  <c r="I957" i="24"/>
  <c r="I757" i="24"/>
  <c r="I756" i="24"/>
  <c r="I780" i="24"/>
  <c r="I739" i="24"/>
  <c r="I704" i="24"/>
  <c r="I108" i="24"/>
  <c r="I107" i="24"/>
  <c r="I105" i="24"/>
  <c r="I103" i="24"/>
  <c r="I102" i="24"/>
  <c r="I101" i="24"/>
  <c r="I100" i="24"/>
  <c r="I93" i="24"/>
  <c r="I90" i="24"/>
  <c r="I89" i="24"/>
  <c r="I582" i="24"/>
  <c r="I956" i="24"/>
  <c r="I955" i="24"/>
  <c r="I931" i="24"/>
  <c r="I929" i="24"/>
  <c r="I928" i="24"/>
  <c r="I906" i="24"/>
  <c r="I894" i="24"/>
  <c r="I863" i="24"/>
  <c r="I125" i="24"/>
  <c r="I118" i="24"/>
  <c r="I117" i="24"/>
  <c r="I375" i="24"/>
  <c r="I922" i="24"/>
  <c r="I818" i="24"/>
  <c r="I817" i="24"/>
  <c r="I802" i="24"/>
  <c r="I970" i="24"/>
  <c r="I781" i="24"/>
  <c r="I959" i="24"/>
  <c r="I851" i="24"/>
  <c r="I284" i="24"/>
  <c r="I283" i="24"/>
  <c r="I279" i="24"/>
  <c r="I278" i="24"/>
  <c r="I277" i="24"/>
  <c r="I276" i="24"/>
  <c r="I275" i="24"/>
  <c r="I570" i="24"/>
  <c r="I944" i="24"/>
  <c r="I885" i="24"/>
  <c r="I849" i="24"/>
  <c r="I911" i="24"/>
  <c r="I762" i="24"/>
  <c r="I816" i="24"/>
  <c r="I717" i="24"/>
  <c r="I663" i="24"/>
  <c r="I321" i="24"/>
  <c r="I320" i="24"/>
  <c r="I319" i="24"/>
  <c r="I318" i="24"/>
  <c r="I317" i="24"/>
  <c r="I240" i="24"/>
  <c r="I239" i="24"/>
  <c r="I116" i="24"/>
  <c r="I114" i="24"/>
  <c r="I113" i="24"/>
  <c r="I112" i="24"/>
  <c r="I327" i="24"/>
  <c r="I784" i="24"/>
  <c r="I951" i="24"/>
  <c r="I829" i="24"/>
  <c r="I893" i="24"/>
  <c r="I877" i="24"/>
  <c r="I921" i="24"/>
  <c r="I132" i="24"/>
  <c r="I131" i="24"/>
  <c r="I130" i="24"/>
  <c r="I831" i="24"/>
  <c r="I790" i="24"/>
  <c r="I875" i="24"/>
  <c r="I833" i="24"/>
  <c r="I826" i="24"/>
  <c r="I868" i="24"/>
  <c r="I850" i="24"/>
  <c r="I847" i="24"/>
  <c r="I844" i="24"/>
  <c r="I310" i="24"/>
  <c r="I305" i="24"/>
  <c r="I301" i="24"/>
  <c r="I300" i="24"/>
  <c r="I294" i="24"/>
  <c r="I293" i="24"/>
  <c r="I292" i="24"/>
  <c r="I291" i="24"/>
  <c r="I289" i="24"/>
  <c r="I287" i="24"/>
  <c r="I621" i="24"/>
  <c r="I566" i="24"/>
  <c r="I64" i="24"/>
  <c r="I63" i="24"/>
  <c r="I62" i="24"/>
  <c r="I61" i="24"/>
  <c r="I57" i="24"/>
  <c r="I56" i="24"/>
  <c r="I55" i="24"/>
  <c r="I54" i="24"/>
  <c r="I51" i="24"/>
  <c r="I50" i="24"/>
  <c r="I193" i="24"/>
  <c r="I192" i="24"/>
  <c r="I191" i="24"/>
  <c r="I187" i="24"/>
  <c r="I186" i="24"/>
  <c r="I185" i="24"/>
  <c r="I184" i="24"/>
  <c r="I183" i="24"/>
  <c r="I182" i="24"/>
  <c r="I181" i="24"/>
  <c r="I179" i="24"/>
  <c r="I178" i="24"/>
  <c r="I886" i="24"/>
  <c r="I87" i="24"/>
  <c r="I86" i="24"/>
  <c r="I83" i="24"/>
  <c r="I374" i="24"/>
  <c r="I766" i="24"/>
  <c r="I837" i="24"/>
  <c r="I835" i="24"/>
  <c r="I261" i="24"/>
  <c r="I258" i="24"/>
  <c r="I257" i="24"/>
  <c r="I256" i="24"/>
  <c r="I255" i="24"/>
  <c r="I254" i="24"/>
  <c r="I251" i="24"/>
  <c r="I250" i="24"/>
  <c r="I249" i="24"/>
  <c r="I248" i="24"/>
  <c r="I247" i="24"/>
  <c r="I245" i="24"/>
  <c r="I177" i="24"/>
  <c r="I176" i="24"/>
  <c r="I167" i="24"/>
  <c r="I166" i="24"/>
  <c r="I165" i="24"/>
  <c r="I164" i="24"/>
  <c r="I158" i="24"/>
  <c r="I157" i="24"/>
  <c r="I156" i="24"/>
  <c r="I155" i="24"/>
  <c r="I151" i="24"/>
  <c r="I144" i="24"/>
  <c r="I142" i="24"/>
  <c r="I141" i="24"/>
  <c r="I140" i="24"/>
  <c r="I139" i="24"/>
  <c r="I137" i="24"/>
  <c r="I136" i="24"/>
  <c r="I135" i="24"/>
  <c r="I134" i="24"/>
  <c r="I16" i="24"/>
  <c r="I892" i="24"/>
  <c r="I926" i="24"/>
  <c r="I924" i="24"/>
  <c r="I779" i="24"/>
  <c r="I914" i="24"/>
  <c r="I755" i="24"/>
  <c r="I706" i="24"/>
  <c r="I878" i="24"/>
  <c r="I841" i="24"/>
  <c r="I840" i="24"/>
  <c r="I274" i="24"/>
  <c r="I264" i="24"/>
  <c r="I263" i="24"/>
  <c r="I262" i="24"/>
  <c r="I175" i="24"/>
  <c r="I171" i="24"/>
  <c r="I170" i="24"/>
  <c r="I169" i="24"/>
  <c r="I168" i="24"/>
  <c r="I150" i="24"/>
  <c r="I149" i="24"/>
  <c r="I810" i="24"/>
  <c r="AF954" i="17" a="1"/>
  <c r="E954" i="24" s="1"/>
  <c r="I904" i="24"/>
  <c r="I880" i="24"/>
  <c r="I881" i="24"/>
  <c r="I820" i="24"/>
  <c r="I884" i="24"/>
  <c r="I843" i="24"/>
  <c r="I879" i="24"/>
  <c r="I872" i="24"/>
  <c r="I871" i="24"/>
  <c r="I869" i="24"/>
  <c r="I865" i="24"/>
  <c r="I848" i="24"/>
  <c r="I821" i="24"/>
  <c r="I198" i="24"/>
  <c r="I75" i="24"/>
  <c r="I74" i="24"/>
  <c r="I73" i="24"/>
  <c r="I72" i="24"/>
  <c r="I71" i="24"/>
  <c r="I70" i="24"/>
  <c r="I65" i="24"/>
  <c r="I59" i="24"/>
  <c r="I747" i="24"/>
  <c r="I889" i="24"/>
  <c r="I687" i="24"/>
  <c r="I750" i="24"/>
  <c r="I720" i="24"/>
  <c r="I864" i="24"/>
  <c r="I861" i="24"/>
  <c r="I859" i="24"/>
  <c r="I856" i="24"/>
  <c r="I854" i="24"/>
  <c r="I793" i="24"/>
  <c r="I197" i="24"/>
  <c r="I196" i="24"/>
  <c r="I195" i="24"/>
  <c r="I190" i="24"/>
  <c r="I189" i="24"/>
  <c r="I174" i="24"/>
  <c r="I173" i="24"/>
  <c r="I172" i="24"/>
  <c r="I160" i="24"/>
  <c r="I494" i="24"/>
  <c r="I316" i="24"/>
  <c r="I315" i="24"/>
  <c r="I314" i="24"/>
  <c r="I313" i="24"/>
  <c r="I312" i="24"/>
  <c r="I311" i="24"/>
  <c r="I309" i="24"/>
  <c r="I308" i="24"/>
  <c r="I307" i="24"/>
  <c r="I306" i="24"/>
  <c r="I304" i="24"/>
  <c r="I303" i="24"/>
  <c r="I302" i="24"/>
  <c r="I299" i="24"/>
  <c r="I298" i="24"/>
  <c r="I297" i="24"/>
  <c r="I296" i="24"/>
  <c r="I295" i="24"/>
  <c r="I290" i="24"/>
  <c r="I288" i="24"/>
  <c r="I253" i="24"/>
  <c r="I217" i="24"/>
  <c r="I214" i="24"/>
  <c r="I212" i="24"/>
  <c r="I208" i="24"/>
  <c r="I207" i="24"/>
  <c r="I206" i="24"/>
  <c r="I205" i="24"/>
  <c r="I202" i="24"/>
  <c r="I133" i="24"/>
  <c r="I129" i="24"/>
  <c r="I128" i="24"/>
  <c r="I127" i="24"/>
  <c r="I159" i="24"/>
  <c r="I153" i="24"/>
  <c r="I147" i="24"/>
  <c r="I146" i="24"/>
  <c r="I145" i="24"/>
  <c r="I143" i="24"/>
  <c r="I138" i="24"/>
  <c r="I286" i="24"/>
  <c r="I285" i="24"/>
  <c r="I281" i="24"/>
  <c r="I273" i="24"/>
  <c r="I272" i="24"/>
  <c r="I271" i="24"/>
  <c r="I270" i="24"/>
  <c r="I269" i="24"/>
  <c r="I268" i="24"/>
  <c r="I266" i="24"/>
  <c r="I265" i="24"/>
  <c r="I244" i="24"/>
  <c r="I243" i="24"/>
  <c r="I242" i="24"/>
  <c r="I199" i="24"/>
  <c r="I124" i="24"/>
  <c r="I123" i="24"/>
  <c r="I122" i="24"/>
  <c r="I121" i="24"/>
  <c r="I120" i="24"/>
  <c r="I111" i="24"/>
  <c r="I110" i="24"/>
  <c r="I99" i="24"/>
  <c r="I98" i="24"/>
  <c r="I97" i="24"/>
  <c r="I96" i="24"/>
  <c r="I95" i="24"/>
  <c r="I94" i="24"/>
  <c r="I92" i="24"/>
  <c r="I88" i="24"/>
  <c r="I85" i="24"/>
  <c r="I82" i="24"/>
  <c r="I81" i="24"/>
  <c r="I80" i="24"/>
  <c r="I78" i="24"/>
  <c r="I77" i="24"/>
  <c r="I69" i="24"/>
  <c r="I68" i="24"/>
  <c r="I67" i="24"/>
  <c r="I66" i="24"/>
  <c r="I53" i="24"/>
  <c r="I49" i="24"/>
  <c r="I866" i="24"/>
  <c r="AF950" i="17" a="1"/>
  <c r="D836" i="14" a="1"/>
  <c r="I971" i="24"/>
  <c r="AC836" i="17" l="1"/>
  <c r="AD836" i="17"/>
  <c r="AF953" i="17" a="1"/>
  <c r="E953" i="24" s="1"/>
  <c r="AF952" i="17" a="1"/>
  <c r="E952" i="24" s="1"/>
  <c r="D951" i="14" a="1"/>
  <c r="AF836" i="17" a="1"/>
  <c r="E836" i="24" s="1"/>
  <c r="C836" i="14" a="1"/>
  <c r="D835" i="14" a="1"/>
  <c r="C361" i="19"/>
  <c r="C358" i="19" s="1"/>
  <c r="C357" i="19" s="1"/>
  <c r="C356" i="19" s="1"/>
  <c r="C354" i="19" s="1"/>
  <c r="AC951" i="17" l="1"/>
  <c r="AD951" i="17"/>
  <c r="AC835" i="17"/>
  <c r="AD835" i="17"/>
  <c r="AF951" i="17" a="1"/>
  <c r="C951" i="14" a="1"/>
  <c r="AF835" i="17" a="1"/>
  <c r="E835" i="24" s="1"/>
  <c r="C835" i="14" a="1"/>
  <c r="D834" i="14" a="1"/>
  <c r="E951" i="24" l="1"/>
  <c r="E950" i="24"/>
  <c r="AD834" i="17"/>
  <c r="AC834" i="17"/>
  <c r="AF834" i="17" a="1"/>
  <c r="C834" i="14" a="1"/>
  <c r="D833" i="14" a="1"/>
  <c r="AD833" i="17" l="1"/>
  <c r="AC833" i="17"/>
  <c r="AF833" i="17" a="1"/>
  <c r="E833" i="24" s="1"/>
  <c r="C833" i="14" a="1"/>
  <c r="D832" i="14" a="1"/>
  <c r="AC832" i="17" l="1"/>
  <c r="AD832" i="17"/>
  <c r="AF832" i="17" a="1"/>
  <c r="E832" i="24" s="1"/>
  <c r="E834" i="24" s="1"/>
  <c r="C832" i="14" a="1"/>
  <c r="D831" i="14" a="1"/>
  <c r="C412" i="19"/>
  <c r="C363" i="19" s="1"/>
  <c r="C362" i="19" s="1"/>
  <c r="AD831" i="17" l="1"/>
  <c r="AC831" i="17"/>
  <c r="AF831" i="17" a="1"/>
  <c r="E831" i="24" s="1"/>
  <c r="C831" i="14" a="1"/>
  <c r="D830" i="14" a="1"/>
  <c r="AD830" i="17" l="1"/>
  <c r="AC830" i="17"/>
  <c r="AF830" i="17" a="1"/>
  <c r="E830" i="24" s="1"/>
  <c r="C830" i="14" a="1"/>
  <c r="D829" i="14" a="1"/>
  <c r="C355" i="19"/>
  <c r="C414" i="19" s="1"/>
  <c r="C413" i="19" s="1"/>
  <c r="AD829" i="17" l="1"/>
  <c r="AC829" i="17"/>
  <c r="AF829" i="17" a="1"/>
  <c r="E829" i="24" s="1"/>
  <c r="C829" i="14" a="1"/>
  <c r="D828" i="14" a="1"/>
  <c r="AC828" i="17" l="1"/>
  <c r="AD828" i="17"/>
  <c r="AF828" i="17" a="1"/>
  <c r="C828" i="14" a="1"/>
  <c r="D827" i="14" a="1"/>
  <c r="AC827" i="17" l="1"/>
  <c r="AD827" i="17"/>
  <c r="AF827" i="17" a="1"/>
  <c r="E827" i="24" s="1"/>
  <c r="C827" i="14" a="1"/>
  <c r="D826" i="14" a="1"/>
  <c r="AD826" i="17" l="1"/>
  <c r="AC826" i="17"/>
  <c r="AF826" i="17" a="1"/>
  <c r="E826" i="24" s="1"/>
  <c r="C826" i="14" a="1"/>
  <c r="D825" i="14" a="1"/>
  <c r="AC825" i="17" l="1"/>
  <c r="AD825" i="17"/>
  <c r="AF825" i="17" a="1"/>
  <c r="E825" i="24" s="1"/>
  <c r="C825" i="14" a="1"/>
  <c r="D824" i="14" a="1"/>
  <c r="AC824" i="17" l="1"/>
  <c r="AD824" i="17"/>
  <c r="AF824" i="17" a="1"/>
  <c r="E824" i="24" s="1"/>
  <c r="C824" i="14" a="1"/>
  <c r="D823" i="14" a="1"/>
  <c r="AD823" i="17" l="1"/>
  <c r="AC823" i="17"/>
  <c r="AF823" i="17" a="1"/>
  <c r="E823" i="24" s="1"/>
  <c r="C823" i="14" a="1"/>
  <c r="D822" i="14" a="1"/>
  <c r="AC822" i="17" l="1"/>
  <c r="AD822" i="17"/>
  <c r="AF822" i="17" a="1"/>
  <c r="C822" i="14" a="1"/>
  <c r="D821" i="14" a="1"/>
  <c r="AC821" i="17" l="1"/>
  <c r="AD821" i="17"/>
  <c r="AF821" i="17" a="1"/>
  <c r="E821" i="24" s="1"/>
  <c r="C821" i="14" a="1"/>
  <c r="D820" i="14" a="1"/>
  <c r="AD820" i="17" l="1"/>
  <c r="AC820" i="17"/>
  <c r="AF820" i="17" a="1"/>
  <c r="E820" i="24" s="1"/>
  <c r="C820" i="14" a="1"/>
  <c r="D819" i="14" a="1"/>
  <c r="AD819" i="17" l="1"/>
  <c r="AC819" i="17"/>
  <c r="AF819" i="17" a="1"/>
  <c r="E819" i="24" s="1"/>
  <c r="C819" i="14" a="1"/>
  <c r="D818" i="14" a="1"/>
  <c r="C359" i="19"/>
  <c r="AC818" i="17" l="1"/>
  <c r="AD818" i="17"/>
  <c r="AF818" i="17" a="1"/>
  <c r="E818" i="24" s="1"/>
  <c r="C818" i="14" a="1"/>
  <c r="D817" i="14" a="1"/>
  <c r="AD817" i="17" l="1"/>
  <c r="AC817" i="17"/>
  <c r="AF817" i="17" a="1"/>
  <c r="E817" i="24" s="1"/>
  <c r="C817" i="14" a="1"/>
  <c r="D815" i="14" a="1"/>
  <c r="AD815" i="17" l="1"/>
  <c r="AC815" i="17"/>
  <c r="AF815" i="17" a="1"/>
  <c r="E815" i="24" s="1"/>
  <c r="C815" i="14" a="1"/>
  <c r="D814" i="14" a="1"/>
  <c r="AD814" i="17" l="1"/>
  <c r="AC814" i="17"/>
  <c r="AF814" i="17" a="1"/>
  <c r="E814" i="24" s="1"/>
  <c r="C814" i="14" a="1"/>
  <c r="D813" i="14" a="1"/>
  <c r="AC813" i="17" l="1"/>
  <c r="AD813" i="17"/>
  <c r="AF813" i="17" a="1"/>
  <c r="E813" i="24" s="1"/>
  <c r="C813" i="14" a="1"/>
  <c r="D812" i="14" a="1"/>
  <c r="AC812" i="17" l="1"/>
  <c r="AD812" i="17"/>
  <c r="AF812" i="17" a="1"/>
  <c r="E812" i="24" s="1"/>
  <c r="C812" i="14" a="1"/>
  <c r="D811" i="14" a="1"/>
  <c r="AD811" i="17" l="1"/>
  <c r="AC811" i="17"/>
  <c r="AF811" i="17" a="1"/>
  <c r="E811" i="24" s="1"/>
  <c r="C811" i="14" a="1"/>
  <c r="D810" i="14" a="1"/>
  <c r="AD810" i="17" l="1"/>
  <c r="AC810" i="17"/>
  <c r="AF810" i="17" a="1"/>
  <c r="E810" i="24" s="1"/>
  <c r="C810" i="14" a="1"/>
  <c r="D808" i="14" a="1"/>
  <c r="C360" i="19"/>
  <c r="AD808" i="17" l="1"/>
  <c r="AC808" i="17"/>
  <c r="AF808" i="17" a="1"/>
  <c r="E808" i="24" s="1"/>
  <c r="C808" i="14" a="1"/>
  <c r="D805" i="14" a="1"/>
  <c r="AD805" i="17" l="1"/>
  <c r="AC805" i="17"/>
  <c r="AF805" i="17" a="1"/>
  <c r="E805" i="24" s="1"/>
  <c r="C805" i="14" a="1"/>
  <c r="D802" i="14" a="1"/>
  <c r="AD802" i="17" l="1"/>
  <c r="AC802" i="17"/>
  <c r="AF802" i="17" a="1"/>
  <c r="E802" i="24" s="1"/>
  <c r="C802" i="14" a="1"/>
  <c r="D801" i="14" a="1"/>
  <c r="AD801" i="17" l="1"/>
  <c r="AC801" i="17"/>
  <c r="AF801" i="17" a="1"/>
  <c r="E801" i="24" s="1"/>
  <c r="C801" i="14" a="1"/>
  <c r="D792" i="14" a="1"/>
  <c r="AC792" i="17" l="1"/>
  <c r="AD792" i="17"/>
  <c r="AF792" i="17" a="1"/>
  <c r="E792" i="24" s="1"/>
  <c r="C792" i="14" a="1"/>
  <c r="D790" i="14" a="1"/>
  <c r="C353" i="19"/>
  <c r="AD790" i="17" l="1"/>
  <c r="AC790" i="17"/>
  <c r="AF790" i="17" a="1"/>
  <c r="E790" i="24" s="1"/>
  <c r="C790" i="14" a="1"/>
  <c r="D789" i="14" a="1"/>
  <c r="AC789" i="17" l="1"/>
  <c r="AD789" i="17"/>
  <c r="AF789" i="17" a="1"/>
  <c r="E789" i="24" s="1"/>
  <c r="C789" i="14" a="1"/>
  <c r="D785" i="14" a="1"/>
  <c r="AC785" i="17" l="1"/>
  <c r="AD785" i="17"/>
  <c r="AF785" i="17" a="1"/>
  <c r="E785" i="24" s="1"/>
  <c r="C785" i="14" a="1"/>
  <c r="D783" i="14" a="1"/>
  <c r="AC783" i="17" l="1"/>
  <c r="AD783" i="17"/>
  <c r="AF783" i="17" a="1"/>
  <c r="E783" i="24" s="1"/>
  <c r="C783" i="14" a="1"/>
  <c r="D781" i="14" a="1"/>
  <c r="AC781" i="17" l="1"/>
  <c r="AD781" i="17"/>
  <c r="AF781" i="17" a="1"/>
  <c r="E781" i="24" s="1"/>
  <c r="C781" i="14" a="1"/>
  <c r="D779" i="14" a="1"/>
  <c r="AC779" i="17" l="1"/>
  <c r="AD779" i="17"/>
  <c r="AF779" i="17" a="1"/>
  <c r="E779" i="24" s="1"/>
  <c r="C779" i="14" a="1"/>
  <c r="D778" i="14" a="1"/>
  <c r="AD778" i="17" l="1"/>
  <c r="AC778" i="17"/>
  <c r="AF778" i="17" a="1"/>
  <c r="E778" i="24" s="1"/>
  <c r="C778" i="14" a="1"/>
  <c r="D776" i="14" a="1"/>
  <c r="AC776" i="17" l="1"/>
  <c r="AD776" i="17"/>
  <c r="AF776" i="17" a="1"/>
  <c r="E776" i="24" s="1"/>
  <c r="C776" i="14" a="1"/>
  <c r="D540" i="14" a="1"/>
  <c r="AD540" i="17" l="1"/>
  <c r="AC540" i="17"/>
  <c r="AF540" i="17" a="1"/>
  <c r="E540" i="24" s="1"/>
  <c r="C540" i="14" a="1"/>
  <c r="D539" i="14" a="1"/>
  <c r="AC539" i="17" l="1"/>
  <c r="AD539" i="17"/>
  <c r="AF539" i="17" a="1"/>
  <c r="E539" i="24" s="1"/>
  <c r="C539" i="14" a="1"/>
  <c r="D538" i="14" a="1"/>
  <c r="AD538" i="17" l="1"/>
  <c r="AC538" i="17"/>
  <c r="AF538" i="17" a="1"/>
  <c r="E538" i="24" s="1"/>
  <c r="C538" i="14" a="1"/>
  <c r="D537" i="14" a="1"/>
  <c r="AC537" i="17" l="1"/>
  <c r="AD537" i="17"/>
  <c r="AF537" i="17" a="1"/>
  <c r="E537" i="24" s="1"/>
  <c r="C537" i="14" a="1"/>
  <c r="D531" i="14" a="1"/>
  <c r="AD531" i="17" l="1"/>
  <c r="AC531" i="17"/>
  <c r="AF531" i="17" a="1"/>
  <c r="E531" i="24" s="1"/>
  <c r="C531" i="14" a="1"/>
  <c r="D530" i="14" a="1"/>
  <c r="AC530" i="17" l="1"/>
  <c r="AD530" i="17"/>
  <c r="AF530" i="17" a="1"/>
  <c r="E530" i="24" s="1"/>
  <c r="C530" i="14" a="1"/>
  <c r="D528" i="14" a="1"/>
  <c r="AC528" i="17" l="1"/>
  <c r="AD528" i="17"/>
  <c r="AF528" i="17" a="1"/>
  <c r="E528" i="24" s="1"/>
  <c r="C528" i="14" a="1"/>
  <c r="D525" i="14" a="1"/>
  <c r="AD525" i="17" l="1"/>
  <c r="AC525" i="17"/>
  <c r="AF525" i="17" a="1"/>
  <c r="E525" i="24" s="1"/>
  <c r="C525" i="14" a="1"/>
  <c r="D524" i="14" a="1"/>
  <c r="AD524" i="17" l="1"/>
  <c r="AC524" i="17"/>
  <c r="AF524" i="17" a="1"/>
  <c r="E524" i="24" s="1"/>
  <c r="C524" i="14" a="1"/>
  <c r="D519" i="14" a="1"/>
  <c r="AC519" i="17" l="1"/>
  <c r="AD519" i="17"/>
  <c r="AF519" i="17" a="1"/>
  <c r="E519" i="24" s="1"/>
  <c r="C519" i="14" a="1"/>
  <c r="D515" i="14" a="1"/>
  <c r="AD515" i="17" l="1"/>
  <c r="AC515" i="17"/>
  <c r="AF515" i="17" a="1"/>
  <c r="E515" i="24" s="1"/>
  <c r="C515" i="14" a="1"/>
  <c r="D512" i="14" a="1"/>
  <c r="AD512" i="17" l="1"/>
  <c r="AC512" i="17"/>
  <c r="AF512" i="17" a="1"/>
  <c r="E512" i="24" s="1"/>
  <c r="C512" i="14" a="1"/>
  <c r="D511" i="14" a="1"/>
  <c r="AD511" i="17" l="1"/>
  <c r="AC511" i="17"/>
  <c r="AF511" i="17" a="1"/>
  <c r="E511" i="24" s="1"/>
  <c r="C511" i="14" a="1"/>
  <c r="D510" i="14" a="1"/>
  <c r="AC510" i="17" l="1"/>
  <c r="AD510" i="17"/>
  <c r="AF510" i="17" a="1"/>
  <c r="E510" i="24" s="1"/>
  <c r="C510" i="14" a="1"/>
  <c r="D503" i="14" a="1"/>
  <c r="AD503" i="17" l="1"/>
  <c r="AC503" i="17"/>
  <c r="AF503" i="17" a="1"/>
  <c r="E503" i="24" s="1"/>
  <c r="C503" i="14" a="1"/>
  <c r="D502" i="14" a="1"/>
  <c r="AD502" i="17" l="1"/>
  <c r="AC502" i="17"/>
  <c r="AF502" i="17" a="1"/>
  <c r="E502" i="24" s="1"/>
  <c r="C502" i="14" a="1"/>
  <c r="D500" i="14" a="1"/>
  <c r="AD500" i="17" l="1"/>
  <c r="AC500" i="17"/>
  <c r="AF500" i="17" a="1"/>
  <c r="E500" i="24" s="1"/>
  <c r="C500" i="14" a="1"/>
  <c r="D495" i="14" a="1"/>
  <c r="AC495" i="17" l="1"/>
  <c r="AD495" i="17"/>
  <c r="AF495" i="17" a="1"/>
  <c r="C495" i="14" a="1"/>
  <c r="D491" i="14" a="1"/>
  <c r="AC491" i="17" l="1"/>
  <c r="AD491" i="17"/>
  <c r="AF491" i="17" a="1"/>
  <c r="E491" i="24" s="1"/>
  <c r="C491" i="14" a="1"/>
  <c r="D490" i="14" a="1"/>
  <c r="AD490" i="17" l="1"/>
  <c r="AC490" i="17"/>
  <c r="AF490" i="17" a="1"/>
  <c r="E490" i="24" s="1"/>
  <c r="C490" i="14" a="1"/>
  <c r="D487" i="14" a="1"/>
  <c r="AD487" i="17" l="1"/>
  <c r="AC487" i="17"/>
  <c r="AF487" i="17" a="1"/>
  <c r="E487" i="24" s="1"/>
  <c r="C487" i="14" a="1"/>
  <c r="D483" i="14" a="1"/>
  <c r="AD483" i="17" l="1"/>
  <c r="AC483" i="17"/>
  <c r="AF483" i="17" a="1"/>
  <c r="E483" i="24" s="1"/>
  <c r="C483" i="14" a="1"/>
  <c r="D474" i="14" a="1"/>
  <c r="AD474" i="17" l="1"/>
  <c r="AC474" i="17"/>
  <c r="AF474" i="17" a="1"/>
  <c r="C474" i="14" a="1"/>
  <c r="D460" i="14" a="1"/>
  <c r="AC460" i="17" l="1"/>
  <c r="AD460" i="17"/>
  <c r="AF460" i="17" a="1"/>
  <c r="E460" i="24" s="1"/>
  <c r="C460" i="14" a="1"/>
  <c r="D458" i="14" a="1"/>
  <c r="AD458" i="17" l="1"/>
  <c r="AC458" i="17"/>
  <c r="AF458" i="17" a="1"/>
  <c r="E458" i="24" s="1"/>
  <c r="C458" i="14" a="1"/>
  <c r="D453" i="14" a="1"/>
  <c r="AC453" i="17" l="1"/>
  <c r="AD453" i="17"/>
  <c r="AF453" i="17" a="1"/>
  <c r="E453" i="24" s="1"/>
  <c r="C453" i="14" a="1"/>
  <c r="D449" i="14" a="1"/>
  <c r="AC449" i="17" l="1"/>
  <c r="AD449" i="17"/>
  <c r="AF449" i="17" a="1"/>
  <c r="E449" i="24" s="1"/>
  <c r="C449" i="14" a="1"/>
  <c r="D443" i="14" a="1"/>
  <c r="AC443" i="17" l="1"/>
  <c r="AD443" i="17"/>
  <c r="AF443" i="17" a="1"/>
  <c r="E443" i="24" s="1"/>
  <c r="C443" i="14" a="1"/>
  <c r="D427" i="14" a="1"/>
  <c r="AC427" i="17" l="1"/>
  <c r="AD427" i="17"/>
  <c r="AF427" i="17" a="1"/>
  <c r="E427" i="24" s="1"/>
  <c r="C427" i="14" a="1"/>
  <c r="D417" i="14" a="1"/>
  <c r="AC417" i="17" l="1"/>
  <c r="AD417" i="17"/>
  <c r="AF417" i="17" a="1"/>
  <c r="E417" i="24" s="1"/>
  <c r="C417" i="14" a="1"/>
  <c r="D415" i="14" a="1"/>
  <c r="AC415" i="17" l="1"/>
  <c r="AD415" i="17"/>
  <c r="AF415" i="17" a="1"/>
  <c r="E415" i="24" s="1"/>
  <c r="C415" i="14" a="1"/>
  <c r="D413" i="14" a="1"/>
  <c r="AD413" i="17" l="1"/>
  <c r="AC413" i="17"/>
  <c r="AF413" i="17" a="1"/>
  <c r="E413" i="24" s="1"/>
  <c r="C413" i="14" a="1"/>
  <c r="D409" i="14" a="1"/>
  <c r="AD409" i="17" l="1"/>
  <c r="AC409" i="17"/>
  <c r="AF409" i="17" a="1"/>
  <c r="E409" i="24" s="1"/>
  <c r="C409" i="14" a="1"/>
  <c r="D407" i="14" a="1"/>
  <c r="AD407" i="17" l="1"/>
  <c r="AC407" i="17"/>
  <c r="AF407" i="17" a="1"/>
  <c r="E407" i="24" s="1"/>
  <c r="C407" i="14" a="1"/>
  <c r="G970" i="19"/>
  <c r="AF966" i="17" l="1" a="1"/>
  <c r="E966" i="24" l="1"/>
  <c r="E965" i="24"/>
  <c r="AF961" i="17" a="1"/>
  <c r="E961" i="24" s="1"/>
  <c r="AF960" i="17" l="1" a="1"/>
  <c r="E960" i="24" s="1"/>
  <c r="AF959" i="17" l="1" a="1"/>
  <c r="E959" i="24" l="1"/>
  <c r="E958" i="24"/>
  <c r="AF957" i="17" a="1"/>
  <c r="D803" i="14" a="1"/>
  <c r="E957" i="24" l="1"/>
  <c r="E956" i="24"/>
  <c r="AC803" i="17"/>
  <c r="AD803" i="17"/>
  <c r="AF803" i="17" a="1"/>
  <c r="E803" i="24" s="1"/>
  <c r="C803" i="14" a="1"/>
  <c r="D796" i="14" a="1"/>
  <c r="AD796" i="17" l="1"/>
  <c r="AC796" i="17"/>
  <c r="AF796" i="17" a="1"/>
  <c r="E796" i="24" s="1"/>
  <c r="C796" i="14" a="1"/>
  <c r="D794" i="14" a="1"/>
  <c r="AC794" i="17" l="1"/>
  <c r="AD794" i="17"/>
  <c r="AF794" i="17" a="1"/>
  <c r="E794" i="24" s="1"/>
  <c r="C794" i="14" a="1"/>
  <c r="D793" i="14" a="1"/>
  <c r="AD793" i="17" l="1"/>
  <c r="AC793" i="17"/>
  <c r="AF793" i="17" a="1"/>
  <c r="E793" i="24" s="1"/>
  <c r="C793" i="14" a="1"/>
  <c r="D788" i="14" a="1"/>
  <c r="AC788" i="17" l="1"/>
  <c r="AD788" i="17"/>
  <c r="AF788" i="17" a="1"/>
  <c r="E788" i="24" s="1"/>
  <c r="C788" i="14" a="1"/>
  <c r="D787" i="14" a="1"/>
  <c r="AD787" i="17" l="1"/>
  <c r="AC787" i="17"/>
  <c r="AF787" i="17" a="1"/>
  <c r="E787" i="24" s="1"/>
  <c r="C787" i="14" a="1"/>
  <c r="D782" i="14" a="1"/>
  <c r="AD782" i="17" l="1"/>
  <c r="AC782" i="17"/>
  <c r="AF782" i="17" a="1"/>
  <c r="E782" i="24" s="1"/>
  <c r="C782" i="14" a="1"/>
  <c r="D777" i="14" a="1"/>
  <c r="AC777" i="17" l="1"/>
  <c r="AD777" i="17"/>
  <c r="AF777" i="17" a="1"/>
  <c r="E777" i="24" s="1"/>
  <c r="C777" i="14" a="1"/>
  <c r="D774" i="14" a="1"/>
  <c r="AC774" i="17" l="1"/>
  <c r="AD774" i="17"/>
  <c r="AF774" i="17" a="1"/>
  <c r="E774" i="24" s="1"/>
  <c r="C774" i="14" a="1"/>
  <c r="D772" i="14" a="1"/>
  <c r="AD772" i="17" l="1"/>
  <c r="AC772" i="17"/>
  <c r="AF772" i="17" a="1"/>
  <c r="E772" i="24" s="1"/>
  <c r="C772" i="14" a="1"/>
  <c r="D771" i="14" a="1"/>
  <c r="AC771" i="17" l="1"/>
  <c r="AD771" i="17"/>
  <c r="AF771" i="17" a="1"/>
  <c r="E771" i="24" s="1"/>
  <c r="C771" i="14" a="1"/>
  <c r="D770" i="14" a="1"/>
  <c r="AC770" i="17" l="1"/>
  <c r="AD770" i="17"/>
  <c r="AF770" i="17" a="1"/>
  <c r="E770" i="24" s="1"/>
  <c r="C770" i="14" a="1"/>
  <c r="D769" i="14" a="1"/>
  <c r="AC769" i="17" l="1"/>
  <c r="AD769" i="17"/>
  <c r="AF769" i="17" a="1"/>
  <c r="E769" i="24" s="1"/>
  <c r="C769" i="14" a="1"/>
  <c r="D536" i="14" a="1"/>
  <c r="AD536" i="17" l="1"/>
  <c r="AC536" i="17"/>
  <c r="AF536" i="17" a="1"/>
  <c r="E536" i="24" s="1"/>
  <c r="C536" i="14" a="1"/>
  <c r="D535" i="14" a="1"/>
  <c r="AD535" i="17" l="1"/>
  <c r="AC535" i="17"/>
  <c r="AF535" i="17" a="1"/>
  <c r="E535" i="24" s="1"/>
  <c r="C535" i="14" a="1"/>
  <c r="D527" i="14" a="1"/>
  <c r="AC527" i="17" l="1"/>
  <c r="AD527" i="17"/>
  <c r="AF527" i="17" a="1"/>
  <c r="E527" i="24" s="1"/>
  <c r="C527" i="14" a="1"/>
  <c r="D520" i="14" a="1"/>
  <c r="AD520" i="17" l="1"/>
  <c r="AC520" i="17"/>
  <c r="AF520" i="17" a="1"/>
  <c r="E520" i="24" s="1"/>
  <c r="C520" i="14" a="1"/>
  <c r="D518" i="14" a="1"/>
  <c r="AD518" i="17" l="1"/>
  <c r="AC518" i="17"/>
  <c r="AF518" i="17" a="1"/>
  <c r="E518" i="24" s="1"/>
  <c r="C518" i="14" a="1"/>
  <c r="D516" i="14" a="1"/>
  <c r="AC516" i="17" l="1"/>
  <c r="AD516" i="17"/>
  <c r="AF516" i="17" a="1"/>
  <c r="E516" i="24" s="1"/>
  <c r="C516" i="14" a="1"/>
  <c r="D514" i="14" a="1"/>
  <c r="AC514" i="17" l="1"/>
  <c r="AD514" i="17"/>
  <c r="AF514" i="17" a="1"/>
  <c r="E514" i="24" s="1"/>
  <c r="C514" i="14" a="1"/>
  <c r="D508" i="14" a="1"/>
  <c r="AC508" i="17" l="1"/>
  <c r="AD508" i="17"/>
  <c r="AF508" i="17" a="1"/>
  <c r="E508" i="24" s="1"/>
  <c r="C508" i="14" a="1"/>
  <c r="D507" i="14" a="1"/>
  <c r="AD507" i="17" l="1"/>
  <c r="AC507" i="17"/>
  <c r="AF507" i="17" a="1"/>
  <c r="E507" i="24" s="1"/>
  <c r="C507" i="14" a="1"/>
  <c r="D506" i="14" a="1"/>
  <c r="AD506" i="17" l="1"/>
  <c r="AC506" i="17"/>
  <c r="AF506" i="17" a="1"/>
  <c r="E506" i="24" s="1"/>
  <c r="C506" i="14" a="1"/>
  <c r="D505" i="14" a="1"/>
  <c r="AC505" i="17" l="1"/>
  <c r="AD505" i="17"/>
  <c r="AF505" i="17" a="1"/>
  <c r="E505" i="24" s="1"/>
  <c r="C505" i="14" a="1"/>
  <c r="D498" i="14" a="1"/>
  <c r="AC498" i="17" l="1"/>
  <c r="AD498" i="17"/>
  <c r="AF498" i="17" a="1"/>
  <c r="E498" i="24" s="1"/>
  <c r="C498" i="14" a="1"/>
  <c r="D497" i="14" a="1"/>
  <c r="AC497" i="17" l="1"/>
  <c r="AD497" i="17"/>
  <c r="AF497" i="17" a="1"/>
  <c r="C497" i="14" a="1"/>
  <c r="D496" i="14" a="1"/>
  <c r="AC496" i="17" l="1"/>
  <c r="AD496" i="17"/>
  <c r="AF496" i="17" a="1"/>
  <c r="E496" i="24" s="1"/>
  <c r="C496" i="14" a="1"/>
  <c r="D493" i="14" a="1"/>
  <c r="AD493" i="17" l="1"/>
  <c r="AC493" i="17"/>
  <c r="AF493" i="17" a="1"/>
  <c r="E493" i="24" s="1"/>
  <c r="C493" i="14" a="1"/>
  <c r="D492" i="14" a="1"/>
  <c r="AC492" i="17" l="1"/>
  <c r="AD492" i="17"/>
  <c r="AF492" i="17" a="1"/>
  <c r="E492" i="24" s="1"/>
  <c r="C492" i="14" a="1"/>
  <c r="D482" i="14" a="1"/>
  <c r="AC482" i="17" l="1"/>
  <c r="AD482" i="17"/>
  <c r="AF482" i="17" a="1"/>
  <c r="E482" i="24" s="1"/>
  <c r="C482" i="14" a="1"/>
  <c r="D481" i="14" a="1"/>
  <c r="AD481" i="17" l="1"/>
  <c r="AC481" i="17"/>
  <c r="AF481" i="17" a="1"/>
  <c r="E481" i="24" s="1"/>
  <c r="C481" i="14" a="1"/>
  <c r="D480" i="14" a="1"/>
  <c r="AC480" i="17" l="1"/>
  <c r="AD480" i="17"/>
  <c r="AF480" i="17" a="1"/>
  <c r="E480" i="24" s="1"/>
  <c r="C480" i="14" a="1"/>
  <c r="D476" i="14" a="1"/>
  <c r="AD476" i="17" l="1"/>
  <c r="AC476" i="17"/>
  <c r="AF476" i="17" a="1"/>
  <c r="E476" i="24" s="1"/>
  <c r="C476" i="14" a="1"/>
  <c r="D473" i="14" a="1"/>
  <c r="AD473" i="17" l="1"/>
  <c r="AC473" i="17"/>
  <c r="AF473" i="17" a="1"/>
  <c r="E473" i="24" s="1"/>
  <c r="C473" i="14" a="1"/>
  <c r="D470" i="14" a="1"/>
  <c r="AC470" i="17" l="1"/>
  <c r="AD470" i="17"/>
  <c r="AF470" i="17" a="1"/>
  <c r="E470" i="24" s="1"/>
  <c r="C470" i="14" a="1"/>
  <c r="D469" i="14" a="1"/>
  <c r="AD469" i="17" l="1"/>
  <c r="AC469" i="17"/>
  <c r="AF469" i="17" a="1"/>
  <c r="E469" i="24" s="1"/>
  <c r="C469" i="14" a="1"/>
  <c r="D466" i="14" a="1"/>
  <c r="AC466" i="17" l="1"/>
  <c r="AD466" i="17"/>
  <c r="AF466" i="17" a="1"/>
  <c r="E466" i="24" s="1"/>
  <c r="C466" i="14" a="1"/>
  <c r="D462" i="14" a="1"/>
  <c r="AC462" i="17" l="1"/>
  <c r="AD462" i="17"/>
  <c r="AF462" i="17" a="1"/>
  <c r="E462" i="24" s="1"/>
  <c r="C462" i="14" a="1"/>
  <c r="D459" i="14" a="1"/>
  <c r="AC459" i="17" l="1"/>
  <c r="AD459" i="17"/>
  <c r="AF459" i="17" a="1"/>
  <c r="E459" i="24" s="1"/>
  <c r="C459" i="14" a="1"/>
  <c r="D457" i="14" a="1"/>
  <c r="AD457" i="17" l="1"/>
  <c r="AC457" i="17"/>
  <c r="AF457" i="17" a="1"/>
  <c r="E457" i="24" s="1"/>
  <c r="C457" i="14" a="1"/>
  <c r="D454" i="14" a="1"/>
  <c r="AC454" i="17" l="1"/>
  <c r="AD454" i="17"/>
  <c r="AF454" i="17" a="1"/>
  <c r="E454" i="24" s="1"/>
  <c r="C454" i="14" a="1"/>
  <c r="D450" i="14" a="1"/>
  <c r="AD450" i="17" l="1"/>
  <c r="AC450" i="17"/>
  <c r="AF450" i="17" a="1"/>
  <c r="E450" i="24" s="1"/>
  <c r="C450" i="14" a="1"/>
  <c r="D448" i="14" a="1"/>
  <c r="AC448" i="17" l="1"/>
  <c r="AD448" i="17"/>
  <c r="AF448" i="17" a="1"/>
  <c r="E448" i="24" s="1"/>
  <c r="C448" i="14" a="1"/>
  <c r="D446" i="14" a="1"/>
  <c r="AD446" i="17" l="1"/>
  <c r="AC446" i="17"/>
  <c r="AF446" i="17" a="1"/>
  <c r="E446" i="24" s="1"/>
  <c r="C446" i="14" a="1"/>
  <c r="D441" i="14" a="1"/>
  <c r="AD441" i="17" l="1"/>
  <c r="AC441" i="17"/>
  <c r="AF441" i="17" a="1"/>
  <c r="E441" i="24" s="1"/>
  <c r="C441" i="14" a="1"/>
  <c r="D437" i="14" a="1"/>
  <c r="AD437" i="17" l="1"/>
  <c r="AC437" i="17"/>
  <c r="AF437" i="17" a="1"/>
  <c r="E437" i="24" s="1"/>
  <c r="C437" i="14" a="1"/>
  <c r="D423" i="14" a="1"/>
  <c r="AC423" i="17" l="1"/>
  <c r="AD423" i="17"/>
  <c r="AF423" i="17" a="1"/>
  <c r="E423" i="24" s="1"/>
  <c r="C423" i="14" a="1"/>
  <c r="D414" i="14" a="1"/>
  <c r="AD414" i="17" l="1"/>
  <c r="AC414" i="17"/>
  <c r="AF414" i="17" a="1"/>
  <c r="E414" i="24" s="1"/>
  <c r="C414" i="14" a="1"/>
  <c r="D412" i="14" a="1"/>
  <c r="AD412" i="17" l="1"/>
  <c r="AC412" i="17"/>
  <c r="AF412" i="17" a="1"/>
  <c r="E412" i="24" s="1"/>
  <c r="C412" i="14" a="1"/>
  <c r="D406" i="14" a="1"/>
  <c r="AC406" i="17" l="1"/>
  <c r="AD406" i="17"/>
  <c r="C406" i="14" a="1"/>
  <c r="AF406" i="17" a="1"/>
  <c r="E406" i="24" s="1"/>
  <c r="D949" i="14" l="1" a="1"/>
  <c r="AC949" i="17" l="1"/>
  <c r="AD949" i="17"/>
  <c r="AF949" i="17" a="1"/>
  <c r="E949" i="24" s="1"/>
  <c r="C949" i="14" a="1"/>
  <c r="D948" i="14" l="1" a="1"/>
  <c r="AC948" i="17" l="1"/>
  <c r="AD948" i="17"/>
  <c r="AF948" i="17" a="1"/>
  <c r="E948" i="24" s="1"/>
  <c r="C948" i="14" a="1"/>
  <c r="AF947" i="17" l="1" a="1"/>
  <c r="E947" i="24" s="1"/>
  <c r="AF946" i="17" l="1" a="1"/>
  <c r="E946" i="24" s="1"/>
  <c r="AF945" i="17" l="1" a="1"/>
  <c r="E945" i="24" s="1"/>
  <c r="D944" i="14" l="1" a="1"/>
  <c r="AC944" i="17" l="1"/>
  <c r="AD944" i="17"/>
  <c r="AF944" i="17" a="1"/>
  <c r="E944" i="24" s="1"/>
  <c r="C944" i="14" a="1"/>
  <c r="AF943" i="17" l="1" a="1"/>
  <c r="E943" i="24" s="1"/>
  <c r="AF942" i="17" l="1" a="1"/>
  <c r="E942" i="24" s="1"/>
  <c r="AF941" i="17" l="1" a="1"/>
  <c r="E941" i="24" s="1"/>
  <c r="AF940" i="17" l="1" a="1"/>
  <c r="D936" i="14" a="1"/>
  <c r="E940" i="24" l="1"/>
  <c r="E939" i="24"/>
  <c r="AC936" i="17"/>
  <c r="AD936" i="17"/>
  <c r="AF936" i="17" a="1"/>
  <c r="E936" i="24" s="1"/>
  <c r="C936" i="14" a="1"/>
  <c r="D935" i="14" a="1"/>
  <c r="AC935" i="17" l="1"/>
  <c r="AD935" i="17"/>
  <c r="AF935" i="17" a="1"/>
  <c r="E935" i="24" s="1"/>
  <c r="C935" i="14" a="1"/>
  <c r="D934" i="14" a="1"/>
  <c r="AD934" i="17" l="1"/>
  <c r="AC934" i="17"/>
  <c r="AF934" i="17" a="1"/>
  <c r="E934" i="24" s="1"/>
  <c r="C934" i="14" a="1"/>
  <c r="D933" i="14" a="1"/>
  <c r="AD933" i="17" l="1"/>
  <c r="AC933" i="17"/>
  <c r="C933" i="14" a="1"/>
  <c r="AF933" i="17" a="1"/>
  <c r="E933" i="24" s="1"/>
  <c r="D932" i="14" a="1"/>
  <c r="AC932" i="17" l="1"/>
  <c r="AD932" i="17"/>
  <c r="C932" i="14" a="1"/>
  <c r="D931" i="14" a="1"/>
  <c r="AD931" i="17" l="1"/>
  <c r="AC931" i="17"/>
  <c r="AF931" i="17" a="1"/>
  <c r="C931" i="14" a="1"/>
  <c r="D930" i="14" a="1"/>
  <c r="AC930" i="17" l="1"/>
  <c r="AD930" i="17"/>
  <c r="AF930" i="17" a="1"/>
  <c r="E930" i="24" s="1"/>
  <c r="C930" i="14" a="1"/>
  <c r="D929" i="14" a="1"/>
  <c r="AD929" i="17" l="1"/>
  <c r="AC929" i="17"/>
  <c r="AF929" i="17" a="1"/>
  <c r="E929" i="24" s="1"/>
  <c r="C929" i="14" a="1"/>
  <c r="D928" i="14" a="1"/>
  <c r="AD928" i="17" l="1"/>
  <c r="AC928" i="17"/>
  <c r="AF928" i="17" a="1"/>
  <c r="E928" i="24" s="1"/>
  <c r="C928" i="14" a="1"/>
  <c r="D927" i="14" a="1"/>
  <c r="AD927" i="17" l="1"/>
  <c r="AC927" i="17"/>
  <c r="AF927" i="17" a="1"/>
  <c r="E927" i="24" s="1"/>
  <c r="C927" i="14" a="1"/>
  <c r="D926" i="14" a="1"/>
  <c r="AD926" i="17" l="1"/>
  <c r="AC926" i="17"/>
  <c r="AF926" i="17" a="1"/>
  <c r="E926" i="24" s="1"/>
  <c r="C926" i="14" a="1"/>
  <c r="D925" i="14" a="1"/>
  <c r="AD925" i="17" l="1"/>
  <c r="AC925" i="17"/>
  <c r="AF925" i="17" a="1"/>
  <c r="E925" i="24" s="1"/>
  <c r="C925" i="14" a="1"/>
  <c r="D924" i="14" a="1"/>
  <c r="AD924" i="17" l="1"/>
  <c r="AC924" i="17"/>
  <c r="AF924" i="17" a="1"/>
  <c r="E924" i="24" s="1"/>
  <c r="C924" i="14" a="1"/>
  <c r="D923" i="14" a="1"/>
  <c r="AD923" i="17" l="1"/>
  <c r="AC923" i="17"/>
  <c r="AF923" i="17" a="1"/>
  <c r="E923" i="24" s="1"/>
  <c r="C923" i="14" a="1"/>
  <c r="D922" i="14" a="1"/>
  <c r="AC922" i="17" l="1"/>
  <c r="AD922" i="17"/>
  <c r="C922" i="14" a="1"/>
  <c r="D921" i="14" a="1"/>
  <c r="AD921" i="17" l="1"/>
  <c r="AC921" i="17"/>
  <c r="AF921" i="17" a="1"/>
  <c r="C921" i="14" a="1"/>
  <c r="D920" i="14" a="1"/>
  <c r="AC920" i="17" l="1"/>
  <c r="AD920" i="17"/>
  <c r="AF920" i="17" a="1"/>
  <c r="E920" i="24" s="1"/>
  <c r="C920" i="14" a="1"/>
  <c r="D919" i="14" a="1"/>
  <c r="AD919" i="17" l="1"/>
  <c r="AC919" i="17"/>
  <c r="AF919" i="17" a="1"/>
  <c r="E919" i="24" s="1"/>
  <c r="C919" i="14" a="1"/>
  <c r="D918" i="14" a="1"/>
  <c r="AD918" i="17" l="1"/>
  <c r="AC918" i="17"/>
  <c r="AF918" i="17" a="1"/>
  <c r="E918" i="24" s="1"/>
  <c r="C918" i="14" a="1"/>
  <c r="D917" i="14" a="1"/>
  <c r="AD917" i="17" l="1"/>
  <c r="AC917" i="17"/>
  <c r="AF917" i="17" a="1"/>
  <c r="E917" i="24" s="1"/>
  <c r="C917" i="14" a="1"/>
  <c r="D916" i="14" a="1"/>
  <c r="AD916" i="17" l="1"/>
  <c r="AC916" i="17"/>
  <c r="AF916" i="17" a="1"/>
  <c r="E916" i="24" s="1"/>
  <c r="AF922" i="17" a="1"/>
  <c r="C916" i="14" a="1"/>
  <c r="D915" i="14" a="1"/>
  <c r="E922" i="24" l="1"/>
  <c r="E921" i="24"/>
  <c r="AC915" i="17"/>
  <c r="AD915" i="17"/>
  <c r="AF915" i="17" a="1"/>
  <c r="E915" i="24" s="1"/>
  <c r="C915" i="14" a="1"/>
  <c r="D914" i="14" a="1"/>
  <c r="AD914" i="17" l="1"/>
  <c r="AC914" i="17"/>
  <c r="AF914" i="17" a="1"/>
  <c r="E914" i="24" s="1"/>
  <c r="C914" i="14" a="1"/>
  <c r="D913" i="14" a="1"/>
  <c r="AC913" i="17" l="1"/>
  <c r="AD913" i="17"/>
  <c r="C913" i="14" a="1"/>
  <c r="AF913" i="17" a="1"/>
  <c r="E913" i="24" s="1"/>
  <c r="D912" i="14" a="1"/>
  <c r="AC912" i="17" l="1"/>
  <c r="AD912" i="17"/>
  <c r="AF912" i="17" a="1"/>
  <c r="E912" i="24" s="1"/>
  <c r="C912" i="14" a="1"/>
  <c r="D911" i="14" a="1"/>
  <c r="AD911" i="17" l="1"/>
  <c r="AC911" i="17"/>
  <c r="AF911" i="17" a="1"/>
  <c r="E911" i="24" s="1"/>
  <c r="C911" i="14" a="1"/>
  <c r="D910" i="14" a="1"/>
  <c r="AD910" i="17" l="1"/>
  <c r="AC910" i="17"/>
  <c r="AF910" i="17" a="1"/>
  <c r="E910" i="24" s="1"/>
  <c r="C910" i="14" a="1"/>
  <c r="D909" i="14" a="1"/>
  <c r="AD909" i="17" l="1"/>
  <c r="AC909" i="17"/>
  <c r="AF909" i="17" a="1"/>
  <c r="E909" i="24" s="1"/>
  <c r="C909" i="14" a="1"/>
  <c r="D908" i="14" a="1"/>
  <c r="AC908" i="17" l="1"/>
  <c r="AD908" i="17"/>
  <c r="AF908" i="17" a="1"/>
  <c r="E908" i="24" s="1"/>
  <c r="C908" i="14" a="1"/>
  <c r="D907" i="14" a="1"/>
  <c r="AC907" i="17" l="1"/>
  <c r="AD907" i="17"/>
  <c r="AF907" i="17" a="1"/>
  <c r="E907" i="24" s="1"/>
  <c r="C907" i="14" a="1"/>
  <c r="D906" i="14" a="1"/>
  <c r="AC906" i="17" l="1"/>
  <c r="AD906" i="17"/>
  <c r="AF906" i="17" a="1"/>
  <c r="E906" i="24" s="1"/>
  <c r="C906" i="14" a="1"/>
  <c r="D905" i="14" a="1"/>
  <c r="AC905" i="17" l="1"/>
  <c r="AD905" i="17"/>
  <c r="AF905" i="17" a="1"/>
  <c r="C905" i="14" a="1"/>
  <c r="D904" i="14" a="1"/>
  <c r="AC904" i="17" l="1"/>
  <c r="AD904" i="17"/>
  <c r="AF904" i="17" a="1"/>
  <c r="E904" i="24" s="1"/>
  <c r="C904" i="14" a="1"/>
  <c r="D903" i="14" a="1"/>
  <c r="AD903" i="17" l="1"/>
  <c r="AC903" i="17"/>
  <c r="AF903" i="17" a="1"/>
  <c r="C903" i="14" a="1"/>
  <c r="D902" i="14" a="1"/>
  <c r="AC902" i="17" l="1"/>
  <c r="AD902" i="17"/>
  <c r="AF902" i="17" a="1"/>
  <c r="E902" i="24" s="1"/>
  <c r="C902" i="14" a="1"/>
  <c r="D901" i="14" a="1"/>
  <c r="AD901" i="17" l="1"/>
  <c r="AC901" i="17"/>
  <c r="AF901" i="17" a="1"/>
  <c r="E901" i="24" s="1"/>
  <c r="C901" i="14" a="1"/>
  <c r="D900" i="14" a="1"/>
  <c r="AC900" i="17" l="1"/>
  <c r="AD900" i="17"/>
  <c r="AF900" i="17" a="1"/>
  <c r="E900" i="24" s="1"/>
  <c r="C900" i="14" a="1"/>
  <c r="D899" i="14" a="1"/>
  <c r="AC899" i="17" l="1"/>
  <c r="AD899" i="17"/>
  <c r="AF899" i="17" a="1"/>
  <c r="E899" i="24" s="1"/>
  <c r="C899" i="14" a="1"/>
  <c r="D898" i="14" a="1"/>
  <c r="AD898" i="17" l="1"/>
  <c r="AC898" i="17"/>
  <c r="AF898" i="17" a="1"/>
  <c r="E898" i="24" s="1"/>
  <c r="C898" i="14" a="1"/>
  <c r="D897" i="14" a="1"/>
  <c r="AC897" i="17" l="1"/>
  <c r="AD897" i="17"/>
  <c r="AF897" i="17" a="1"/>
  <c r="C897" i="14" a="1"/>
  <c r="D896" i="14" a="1"/>
  <c r="AC896" i="17" l="1"/>
  <c r="AD896" i="17"/>
  <c r="AF896" i="17" a="1"/>
  <c r="C896" i="14" a="1"/>
  <c r="D895" i="14" a="1"/>
  <c r="AD895" i="17" l="1"/>
  <c r="AC895" i="17"/>
  <c r="AF895" i="17" a="1"/>
  <c r="E895" i="24" s="1"/>
  <c r="C895" i="14" a="1"/>
  <c r="D894" i="14" a="1"/>
  <c r="AD894" i="17" l="1"/>
  <c r="AC894" i="17"/>
  <c r="AF894" i="17" a="1"/>
  <c r="E894" i="24" s="1"/>
  <c r="E896" i="24" s="1"/>
  <c r="C894" i="14" a="1"/>
  <c r="D893" i="14" a="1"/>
  <c r="AC893" i="17" l="1"/>
  <c r="AD893" i="17"/>
  <c r="AF893" i="17" a="1"/>
  <c r="C893" i="14" a="1"/>
  <c r="D892" i="14" a="1"/>
  <c r="AD892" i="17" l="1"/>
  <c r="AC892" i="17"/>
  <c r="AF892" i="17" a="1"/>
  <c r="E892" i="24" s="1"/>
  <c r="C892" i="14" a="1"/>
  <c r="D891" i="14" a="1"/>
  <c r="AC891" i="17" l="1"/>
  <c r="AD891" i="17"/>
  <c r="AF891" i="17" a="1"/>
  <c r="E891" i="24" s="1"/>
  <c r="C891" i="14" a="1"/>
  <c r="D890" i="14" a="1"/>
  <c r="AD890" i="17" l="1"/>
  <c r="AC890" i="17"/>
  <c r="AF890" i="17" a="1"/>
  <c r="E890" i="24" s="1"/>
  <c r="C890" i="14" a="1"/>
  <c r="D889" i="14" a="1"/>
  <c r="AC889" i="17" l="1"/>
  <c r="AD889" i="17"/>
  <c r="AF889" i="17" a="1"/>
  <c r="C889" i="14" a="1"/>
  <c r="D888" i="14" a="1"/>
  <c r="AC888" i="17" l="1"/>
  <c r="AD888" i="17"/>
  <c r="AF888" i="17" a="1"/>
  <c r="E888" i="24" s="1"/>
  <c r="C888" i="14" a="1"/>
  <c r="D887" i="14" a="1"/>
  <c r="AC887" i="17" l="1"/>
  <c r="AD887" i="17"/>
  <c r="AF887" i="17" a="1"/>
  <c r="E887" i="24" s="1"/>
  <c r="C887" i="14" a="1"/>
  <c r="D886" i="14" a="1"/>
  <c r="AD886" i="17" l="1"/>
  <c r="AC886" i="17"/>
  <c r="AF886" i="17" a="1"/>
  <c r="E886" i="24" s="1"/>
  <c r="C886" i="14" a="1"/>
  <c r="D885" i="14" a="1"/>
  <c r="AC885" i="17" l="1"/>
  <c r="AD885" i="17"/>
  <c r="AF885" i="17" a="1"/>
  <c r="E885" i="24" s="1"/>
  <c r="C885" i="14" a="1"/>
  <c r="D884" i="14" a="1"/>
  <c r="AD884" i="17" l="1"/>
  <c r="AC884" i="17"/>
  <c r="AF884" i="17" a="1"/>
  <c r="C884" i="14" a="1"/>
  <c r="D883" i="14" a="1"/>
  <c r="AC883" i="17" l="1"/>
  <c r="AD883" i="17"/>
  <c r="AF883" i="17" a="1"/>
  <c r="E883" i="24" s="1"/>
  <c r="C883" i="14" a="1"/>
  <c r="D882" i="14" a="1"/>
  <c r="AC882" i="17" l="1"/>
  <c r="AD882" i="17"/>
  <c r="AF882" i="17" a="1"/>
  <c r="E882" i="24" s="1"/>
  <c r="C882" i="14" a="1"/>
  <c r="D881" i="14" a="1"/>
  <c r="AC881" i="17" l="1"/>
  <c r="AD881" i="17"/>
  <c r="AF881" i="17" a="1"/>
  <c r="E881" i="24" s="1"/>
  <c r="C881" i="14" a="1"/>
  <c r="D880" i="14" a="1"/>
  <c r="AD880" i="17" l="1"/>
  <c r="AC880" i="17"/>
  <c r="AF880" i="17" a="1"/>
  <c r="E880" i="24" s="1"/>
  <c r="C880" i="14" a="1"/>
  <c r="D879" i="14" a="1"/>
  <c r="AC879" i="17" l="1"/>
  <c r="AD879" i="17"/>
  <c r="AF879" i="17" a="1"/>
  <c r="E879" i="24" s="1"/>
  <c r="C879" i="14" a="1"/>
  <c r="D878" i="14" a="1"/>
  <c r="AC878" i="17" l="1"/>
  <c r="AD878" i="17"/>
  <c r="AF878" i="17" a="1"/>
  <c r="E878" i="24" s="1"/>
  <c r="C878" i="14" a="1"/>
  <c r="D877" i="14" a="1"/>
  <c r="AD877" i="17" l="1"/>
  <c r="AC877" i="17"/>
  <c r="AF877" i="17" a="1"/>
  <c r="E877" i="24" s="1"/>
  <c r="C877" i="14" a="1"/>
  <c r="D876" i="14" a="1"/>
  <c r="AC876" i="17" l="1"/>
  <c r="AD876" i="17"/>
  <c r="AF876" i="17" a="1"/>
  <c r="E876" i="24" s="1"/>
  <c r="C876" i="14" a="1"/>
  <c r="D875" i="14" a="1"/>
  <c r="AC875" i="17" l="1"/>
  <c r="AD875" i="17"/>
  <c r="AF875" i="17" a="1"/>
  <c r="E875" i="24" s="1"/>
  <c r="C875" i="14" a="1"/>
  <c r="D874" i="14" a="1"/>
  <c r="AD874" i="17" l="1"/>
  <c r="AC874" i="17"/>
  <c r="AF874" i="17" a="1"/>
  <c r="E874" i="24" s="1"/>
  <c r="C874" i="14" a="1"/>
  <c r="D873" i="14" a="1"/>
  <c r="AC873" i="17" l="1"/>
  <c r="AD873" i="17"/>
  <c r="AF873" i="17" a="1"/>
  <c r="E873" i="24" s="1"/>
  <c r="C873" i="14" a="1"/>
  <c r="D872" i="14" a="1"/>
  <c r="AD872" i="17" l="1"/>
  <c r="AC872" i="17"/>
  <c r="AF872" i="17" a="1"/>
  <c r="E872" i="24" s="1"/>
  <c r="C872" i="14" a="1"/>
  <c r="D871" i="14" a="1"/>
  <c r="AC871" i="17" l="1"/>
  <c r="AD871" i="17"/>
  <c r="AF871" i="17" a="1"/>
  <c r="E871" i="24" s="1"/>
  <c r="C871" i="14" a="1"/>
  <c r="D870" i="14" a="1"/>
  <c r="AD870" i="17" l="1"/>
  <c r="AC870" i="17"/>
  <c r="AF870" i="17" a="1"/>
  <c r="E870" i="24" s="1"/>
  <c r="C870" i="14" a="1"/>
  <c r="D869" i="14" a="1"/>
  <c r="AC869" i="17" l="1"/>
  <c r="AD869" i="17"/>
  <c r="AF869" i="17" a="1"/>
  <c r="E869" i="24" s="1"/>
  <c r="C869" i="14" a="1"/>
  <c r="D868" i="14" a="1"/>
  <c r="AC868" i="17" l="1"/>
  <c r="AD868" i="17"/>
  <c r="AF868" i="17" a="1"/>
  <c r="C868" i="14" a="1"/>
  <c r="D867" i="14" a="1"/>
  <c r="AD867" i="17" l="1"/>
  <c r="AC867" i="17"/>
  <c r="AF867" i="17" a="1"/>
  <c r="E867" i="24" s="1"/>
  <c r="C867" i="14" a="1"/>
  <c r="D866" i="14" a="1"/>
  <c r="AC866" i="17" l="1"/>
  <c r="AD866" i="17"/>
  <c r="AF866" i="17" a="1"/>
  <c r="E866" i="24" s="1"/>
  <c r="C866" i="14" a="1"/>
  <c r="D865" i="14" a="1"/>
  <c r="AC865" i="17" l="1"/>
  <c r="AD865" i="17"/>
  <c r="AF865" i="17" a="1"/>
  <c r="E865" i="24" s="1"/>
  <c r="C865" i="14" a="1"/>
  <c r="D864" i="14" a="1"/>
  <c r="AD864" i="17" l="1"/>
  <c r="AC864" i="17"/>
  <c r="AF864" i="17" a="1"/>
  <c r="E864" i="24" s="1"/>
  <c r="C864" i="14" a="1"/>
  <c r="D863" i="14" a="1"/>
  <c r="AC863" i="17" l="1"/>
  <c r="AD863" i="17"/>
  <c r="AF863" i="17" a="1"/>
  <c r="E863" i="24" s="1"/>
  <c r="C863" i="14" a="1"/>
  <c r="D860" i="14" a="1"/>
  <c r="AC862" i="17" l="1"/>
  <c r="AD862" i="17"/>
  <c r="AF862" i="17" a="1"/>
  <c r="C860" i="14" a="1"/>
  <c r="D862" i="14" a="1"/>
  <c r="AD861" i="17" l="1"/>
  <c r="AC861" i="17"/>
  <c r="AF861" i="17" a="1"/>
  <c r="E862" i="24" s="1"/>
  <c r="C862" i="14" a="1"/>
  <c r="D861" i="14" a="1"/>
  <c r="AC860" i="17" l="1"/>
  <c r="AD860" i="17"/>
  <c r="AF860" i="17" a="1"/>
  <c r="C861" i="14" a="1"/>
  <c r="D859" i="14" a="1"/>
  <c r="E861" i="24" l="1"/>
  <c r="E860" i="24"/>
  <c r="AC859" i="17"/>
  <c r="AD859" i="17"/>
  <c r="AF859" i="17" a="1"/>
  <c r="E859" i="24" s="1"/>
  <c r="C859" i="14" a="1"/>
  <c r="D858" i="14" a="1"/>
  <c r="AD858" i="17" l="1"/>
  <c r="AC858" i="17"/>
  <c r="AF858" i="17" a="1"/>
  <c r="E858" i="24" s="1"/>
  <c r="C858" i="14" a="1"/>
  <c r="D857" i="14" a="1"/>
  <c r="AC857" i="17" l="1"/>
  <c r="AD857" i="17"/>
  <c r="AF857" i="17" a="1"/>
  <c r="E857" i="24" s="1"/>
  <c r="C857" i="14" a="1"/>
  <c r="D856" i="14" a="1"/>
  <c r="AC856" i="17" l="1"/>
  <c r="AD856" i="17"/>
  <c r="AF856" i="17" a="1"/>
  <c r="E856" i="24" s="1"/>
  <c r="C856" i="14" a="1"/>
  <c r="D855" i="14" a="1"/>
  <c r="AD855" i="17" l="1"/>
  <c r="AC855" i="17"/>
  <c r="AF855" i="17" a="1"/>
  <c r="C855" i="14" a="1"/>
  <c r="D854" i="14" a="1"/>
  <c r="AC854" i="17" l="1"/>
  <c r="AD854" i="17"/>
  <c r="AF854" i="17" a="1"/>
  <c r="E854" i="24" s="1"/>
  <c r="C854" i="14" a="1"/>
  <c r="D853" i="14" a="1"/>
  <c r="AD853" i="17" l="1"/>
  <c r="AC853" i="17"/>
  <c r="AF853" i="17" a="1"/>
  <c r="E853" i="24" s="1"/>
  <c r="C853" i="14" a="1"/>
  <c r="D852" i="14" a="1"/>
  <c r="AD852" i="17" l="1"/>
  <c r="AC852" i="17"/>
  <c r="AF852" i="17" a="1"/>
  <c r="E852" i="24" s="1"/>
  <c r="C852" i="14" a="1"/>
  <c r="D851" i="14" a="1"/>
  <c r="AC851" i="17" l="1"/>
  <c r="AD851" i="17"/>
  <c r="AF851" i="17" a="1"/>
  <c r="E851" i="24" s="1"/>
  <c r="C851" i="14" a="1"/>
  <c r="D850" i="14" a="1"/>
  <c r="AC850" i="17" l="1"/>
  <c r="AD850" i="17"/>
  <c r="AF850" i="17" a="1"/>
  <c r="E850" i="24" s="1"/>
  <c r="C850" i="14" a="1"/>
  <c r="D849" i="14" a="1"/>
  <c r="AC849" i="17" l="1"/>
  <c r="AD849" i="17"/>
  <c r="AF849" i="17" a="1"/>
  <c r="E849" i="24" s="1"/>
  <c r="C849" i="14" a="1"/>
  <c r="D848" i="14" a="1"/>
  <c r="AD848" i="17" l="1"/>
  <c r="AC848" i="17"/>
  <c r="AF848" i="17" a="1"/>
  <c r="E848" i="24" s="1"/>
  <c r="C848" i="14" a="1"/>
  <c r="D847" i="14" a="1"/>
  <c r="AD847" i="17" l="1"/>
  <c r="AC847" i="17"/>
  <c r="AF847" i="17" a="1"/>
  <c r="E847" i="24" s="1"/>
  <c r="C847" i="14" a="1"/>
  <c r="D846" i="14" a="1"/>
  <c r="AC846" i="17" l="1"/>
  <c r="AD846" i="17"/>
  <c r="AF846" i="17" a="1"/>
  <c r="C846" i="14" a="1"/>
  <c r="D845" i="14" a="1"/>
  <c r="AC845" i="17" l="1"/>
  <c r="AD845" i="17"/>
  <c r="AF845" i="17" a="1"/>
  <c r="E845" i="24" s="1"/>
  <c r="C845" i="14" a="1"/>
  <c r="D844" i="14" a="1"/>
  <c r="AC844" i="17" l="1"/>
  <c r="AD844" i="17"/>
  <c r="AF844" i="17" a="1"/>
  <c r="E844" i="24" s="1"/>
  <c r="C844" i="14" a="1"/>
  <c r="D843" i="14" a="1"/>
  <c r="AD843" i="17" l="1"/>
  <c r="AC843" i="17"/>
  <c r="AF843" i="17" a="1"/>
  <c r="E843" i="24" s="1"/>
  <c r="C843" i="14" a="1"/>
  <c r="D842" i="14" a="1"/>
  <c r="AC842" i="17" l="1"/>
  <c r="AD842" i="17"/>
  <c r="AF842" i="17" a="1"/>
  <c r="E842" i="24" s="1"/>
  <c r="C842" i="14" a="1"/>
  <c r="D841" i="14" a="1"/>
  <c r="AC841" i="17" l="1"/>
  <c r="AD841" i="17"/>
  <c r="AF841" i="17" a="1"/>
  <c r="E841" i="24" s="1"/>
  <c r="C841" i="14" a="1"/>
  <c r="D840" i="14" a="1"/>
  <c r="AD840" i="17" l="1"/>
  <c r="AC840" i="17"/>
  <c r="AF840" i="17" a="1"/>
  <c r="E840" i="24" s="1"/>
  <c r="C840" i="14" a="1"/>
  <c r="D839" i="14" a="1"/>
  <c r="AC839" i="17" l="1"/>
  <c r="AD839" i="17"/>
  <c r="AF839" i="17" a="1"/>
  <c r="E839" i="24" s="1"/>
  <c r="C839" i="14" a="1"/>
  <c r="D838" i="14" a="1"/>
  <c r="AC838" i="17" l="1"/>
  <c r="AD838" i="17"/>
  <c r="AF838" i="17" a="1"/>
  <c r="E838" i="24" s="1"/>
  <c r="C838" i="14" a="1"/>
  <c r="D837" i="14" a="1"/>
  <c r="AD837" i="17" l="1"/>
  <c r="AC837" i="17"/>
  <c r="AF837" i="17" a="1"/>
  <c r="E837" i="24" s="1"/>
  <c r="E495" i="24" s="1"/>
  <c r="C837" i="14" a="1"/>
  <c r="D816" i="14" a="1"/>
  <c r="AC816" i="17" l="1"/>
  <c r="AD816" i="17"/>
  <c r="AF816" i="17" a="1"/>
  <c r="E816" i="24" s="1"/>
  <c r="C816" i="14" a="1"/>
  <c r="D809" i="14" a="1"/>
  <c r="AC809" i="17" l="1"/>
  <c r="AD809" i="17"/>
  <c r="AF809" i="17" a="1"/>
  <c r="E809" i="24" s="1"/>
  <c r="C809" i="14" a="1"/>
  <c r="D807" i="14" a="1"/>
  <c r="AC807" i="17" l="1"/>
  <c r="AD807" i="17"/>
  <c r="AF807" i="17" a="1"/>
  <c r="E807" i="24" s="1"/>
  <c r="C807" i="14" a="1"/>
  <c r="D806" i="14" a="1"/>
  <c r="AC806" i="17" l="1"/>
  <c r="AD806" i="17"/>
  <c r="AF806" i="17" a="1"/>
  <c r="E806" i="24" s="1"/>
  <c r="C806" i="14" a="1"/>
  <c r="D804" i="14" a="1"/>
  <c r="AC804" i="17" l="1"/>
  <c r="AD804" i="17"/>
  <c r="AF804" i="17" a="1"/>
  <c r="E804" i="24" s="1"/>
  <c r="C804" i="14" a="1"/>
  <c r="D800" i="14" a="1"/>
  <c r="AC800" i="17" l="1"/>
  <c r="AD800" i="17"/>
  <c r="AF800" i="17" a="1"/>
  <c r="E800" i="24" s="1"/>
  <c r="C800" i="14" a="1"/>
  <c r="D799" i="14" a="1"/>
  <c r="AD799" i="17" l="1"/>
  <c r="AC799" i="17"/>
  <c r="AF799" i="17" a="1"/>
  <c r="E799" i="24" s="1"/>
  <c r="C799" i="14" a="1"/>
  <c r="D798" i="14" a="1"/>
  <c r="AD798" i="17" l="1"/>
  <c r="AC798" i="17"/>
  <c r="AF798" i="17" a="1"/>
  <c r="E798" i="24" s="1"/>
  <c r="C798" i="14" a="1"/>
  <c r="D797" i="14" a="1"/>
  <c r="AC797" i="17" l="1"/>
  <c r="AD797" i="17"/>
  <c r="AF797" i="17" a="1"/>
  <c r="E797" i="24" s="1"/>
  <c r="C797" i="14" a="1"/>
  <c r="D795" i="14" a="1"/>
  <c r="AC795" i="17" l="1"/>
  <c r="AD795" i="17"/>
  <c r="AF795" i="17" a="1"/>
  <c r="E795" i="24" s="1"/>
  <c r="C795" i="14" a="1"/>
  <c r="D791" i="14" a="1"/>
  <c r="AC791" i="17" l="1"/>
  <c r="AD791" i="17"/>
  <c r="AF791" i="17" a="1"/>
  <c r="E791" i="24" s="1"/>
  <c r="C791" i="14" a="1"/>
  <c r="D786" i="14" a="1"/>
  <c r="AD786" i="17" l="1"/>
  <c r="AC786" i="17"/>
  <c r="AF786" i="17" a="1"/>
  <c r="E786" i="24" s="1"/>
  <c r="C786" i="14" a="1"/>
  <c r="D784" i="14" a="1"/>
  <c r="AD784" i="17" l="1"/>
  <c r="AC784" i="17"/>
  <c r="AF784" i="17" a="1"/>
  <c r="E784" i="24" s="1"/>
  <c r="C784" i="14" a="1"/>
  <c r="D780" i="14" a="1"/>
  <c r="AC780" i="17" l="1"/>
  <c r="AD780" i="17"/>
  <c r="AF780" i="17" a="1"/>
  <c r="E780" i="24" s="1"/>
  <c r="E828" i="24" s="1"/>
  <c r="C780" i="14" a="1"/>
  <c r="D775" i="14" a="1"/>
  <c r="AD775" i="17" l="1"/>
  <c r="AC775" i="17"/>
  <c r="AF775" i="17" a="1"/>
  <c r="E775" i="24" s="1"/>
  <c r="C775" i="14" a="1"/>
  <c r="D773" i="14" a="1"/>
  <c r="AC773" i="17" l="1"/>
  <c r="AD773" i="17"/>
  <c r="AF773" i="17" a="1"/>
  <c r="E773" i="24" s="1"/>
  <c r="C773" i="14" a="1"/>
  <c r="D534" i="14" a="1"/>
  <c r="AC534" i="17" l="1"/>
  <c r="AD534" i="17"/>
  <c r="AF534" i="17" a="1"/>
  <c r="E534" i="24" s="1"/>
  <c r="C534" i="14" a="1"/>
  <c r="D533" i="14" a="1"/>
  <c r="AC533" i="17" l="1"/>
  <c r="AD533" i="17"/>
  <c r="AF533" i="17" a="1"/>
  <c r="E533" i="24" s="1"/>
  <c r="C533" i="14" a="1"/>
  <c r="D532" i="14" a="1"/>
  <c r="AC532" i="17" l="1"/>
  <c r="AD532" i="17"/>
  <c r="AF532" i="17" a="1"/>
  <c r="E532" i="24" s="1"/>
  <c r="C532" i="14" a="1"/>
  <c r="D529" i="14" a="1"/>
  <c r="AD529" i="17" l="1"/>
  <c r="AC529" i="17"/>
  <c r="AF529" i="17" a="1"/>
  <c r="E529" i="24" s="1"/>
  <c r="C529" i="14" a="1"/>
  <c r="D526" i="14" a="1"/>
  <c r="AD526" i="17" l="1"/>
  <c r="AC526" i="17"/>
  <c r="AF526" i="17" a="1"/>
  <c r="E526" i="24" s="1"/>
  <c r="C526" i="14" a="1"/>
  <c r="D523" i="14" a="1"/>
  <c r="AC523" i="17" l="1"/>
  <c r="AD523" i="17"/>
  <c r="AF523" i="17" a="1"/>
  <c r="E523" i="24" s="1"/>
  <c r="C523" i="14" a="1"/>
  <c r="D522" i="14" a="1"/>
  <c r="AC522" i="17" l="1"/>
  <c r="AD522" i="17"/>
  <c r="AF522" i="17" a="1"/>
  <c r="E522" i="24" s="1"/>
  <c r="C522" i="14" a="1"/>
  <c r="D521" i="14" a="1"/>
  <c r="AC521" i="17" l="1"/>
  <c r="AD521" i="17"/>
  <c r="AF521" i="17" a="1"/>
  <c r="E521" i="24" s="1"/>
  <c r="C521" i="14" a="1"/>
  <c r="D517" i="14" a="1"/>
  <c r="AC517" i="17" l="1"/>
  <c r="AD517" i="17"/>
  <c r="AF517" i="17" a="1"/>
  <c r="E517" i="24" s="1"/>
  <c r="C517" i="14" a="1"/>
  <c r="D513" i="14" a="1"/>
  <c r="AD513" i="17" l="1"/>
  <c r="AC513" i="17"/>
  <c r="AF513" i="17" a="1"/>
  <c r="E513" i="24" s="1"/>
  <c r="C513" i="14" a="1"/>
  <c r="D509" i="14" a="1"/>
  <c r="AD509" i="17" l="1"/>
  <c r="AC509" i="17"/>
  <c r="AF509" i="17" a="1"/>
  <c r="E509" i="24" s="1"/>
  <c r="C509" i="14" a="1"/>
  <c r="D504" i="14" a="1"/>
  <c r="AC504" i="17" l="1"/>
  <c r="AD504" i="17"/>
  <c r="AF504" i="17" a="1"/>
  <c r="E504" i="24" s="1"/>
  <c r="C504" i="14" a="1"/>
  <c r="D501" i="14" a="1"/>
  <c r="AD501" i="17" l="1"/>
  <c r="AC501" i="17"/>
  <c r="AF501" i="17" a="1"/>
  <c r="E501" i="24" s="1"/>
  <c r="C501" i="14" a="1"/>
  <c r="D499" i="14" a="1"/>
  <c r="AD499" i="17" l="1"/>
  <c r="AC499" i="17"/>
  <c r="AF499" i="17" a="1"/>
  <c r="E499" i="24" s="1"/>
  <c r="C499" i="14" a="1"/>
  <c r="D494" i="14" a="1"/>
  <c r="AD494" i="17" l="1"/>
  <c r="AC494" i="17"/>
  <c r="AF494" i="17" a="1"/>
  <c r="E494" i="24" s="1"/>
  <c r="C494" i="14" a="1"/>
  <c r="D489" i="14" a="1"/>
  <c r="AC489" i="17" l="1"/>
  <c r="AD489" i="17"/>
  <c r="AF489" i="17" a="1"/>
  <c r="E489" i="24" s="1"/>
  <c r="C489" i="14" a="1"/>
  <c r="D488" i="14" a="1"/>
  <c r="AC488" i="17" l="1"/>
  <c r="AD488" i="17"/>
  <c r="AF488" i="17" a="1"/>
  <c r="E488" i="24" s="1"/>
  <c r="C488" i="14" a="1"/>
  <c r="D486" i="14" a="1"/>
  <c r="AC486" i="17" l="1"/>
  <c r="AD486" i="17"/>
  <c r="AF486" i="17" a="1"/>
  <c r="E486" i="24" s="1"/>
  <c r="C486" i="14" a="1"/>
  <c r="D485" i="14" a="1"/>
  <c r="AC485" i="17" l="1"/>
  <c r="AD485" i="17"/>
  <c r="AF485" i="17" a="1"/>
  <c r="E485" i="24" s="1"/>
  <c r="C485" i="14" a="1"/>
  <c r="D484" i="14" a="1"/>
  <c r="AD484" i="17" l="1"/>
  <c r="AC484" i="17"/>
  <c r="AF484" i="17" a="1"/>
  <c r="E484" i="24" s="1"/>
  <c r="C484" i="14" a="1"/>
  <c r="D479" i="14" a="1"/>
  <c r="AD479" i="17" l="1"/>
  <c r="AC479" i="17"/>
  <c r="AF479" i="17" a="1"/>
  <c r="E479" i="24" s="1"/>
  <c r="C479" i="14" a="1"/>
  <c r="D472" i="14" a="1"/>
  <c r="AC472" i="17" l="1"/>
  <c r="AD472" i="17"/>
  <c r="AF472" i="17" a="1"/>
  <c r="E472" i="24" s="1"/>
  <c r="C472" i="14" a="1"/>
  <c r="D468" i="14" a="1"/>
  <c r="AD468" i="17" l="1"/>
  <c r="AC468" i="17"/>
  <c r="AF468" i="17" a="1"/>
  <c r="E468" i="24" s="1"/>
  <c r="C468" i="14" a="1"/>
  <c r="D465" i="14" a="1"/>
  <c r="AD465" i="17" l="1"/>
  <c r="AC465" i="17"/>
  <c r="AF465" i="17" a="1"/>
  <c r="E465" i="24" s="1"/>
  <c r="C465" i="14" a="1"/>
  <c r="D461" i="14" a="1"/>
  <c r="AD461" i="17" l="1"/>
  <c r="AC461" i="17"/>
  <c r="AF461" i="17" a="1"/>
  <c r="E461" i="24" s="1"/>
  <c r="C461" i="14" a="1"/>
  <c r="D455" i="14" a="1"/>
  <c r="AD455" i="17" l="1"/>
  <c r="AC455" i="17"/>
  <c r="AF455" i="17" a="1"/>
  <c r="E455" i="24" s="1"/>
  <c r="C455" i="14" a="1"/>
  <c r="D451" i="14" a="1"/>
  <c r="AC451" i="17" l="1"/>
  <c r="AD451" i="17"/>
  <c r="AF451" i="17" a="1"/>
  <c r="E451" i="24" s="1"/>
  <c r="C451" i="14" a="1"/>
  <c r="D447" i="14" a="1"/>
  <c r="AC447" i="17" l="1"/>
  <c r="AD447" i="17"/>
  <c r="AF447" i="17" a="1"/>
  <c r="E447" i="24" s="1"/>
  <c r="C447" i="14" a="1"/>
  <c r="D444" i="14" a="1"/>
  <c r="AD444" i="17" l="1"/>
  <c r="AC444" i="17"/>
  <c r="AF444" i="17" a="1"/>
  <c r="E444" i="24" s="1"/>
  <c r="C444" i="14" a="1"/>
  <c r="D439" i="14" a="1"/>
  <c r="AC439" i="17" l="1"/>
  <c r="AD439" i="17"/>
  <c r="AF439" i="17" a="1"/>
  <c r="E439" i="24" s="1"/>
  <c r="C439" i="14" a="1"/>
  <c r="D438" i="14" a="1"/>
  <c r="AC438" i="17" l="1"/>
  <c r="AD438" i="17"/>
  <c r="AF438" i="17" a="1"/>
  <c r="E438" i="24" s="1"/>
  <c r="C438" i="14" a="1"/>
  <c r="D436" i="14" a="1"/>
  <c r="AD436" i="17" l="1"/>
  <c r="AC436" i="17"/>
  <c r="AF436" i="17" a="1"/>
  <c r="E436" i="24" s="1"/>
  <c r="C436" i="14" a="1"/>
  <c r="D433" i="14" a="1"/>
  <c r="AC433" i="17" l="1"/>
  <c r="AD433" i="17"/>
  <c r="AF433" i="17" a="1"/>
  <c r="E433" i="24" s="1"/>
  <c r="C433" i="14" a="1"/>
  <c r="D431" i="14" a="1"/>
  <c r="AD431" i="17" l="1"/>
  <c r="AC431" i="17"/>
  <c r="AF431" i="17" a="1"/>
  <c r="E431" i="24" s="1"/>
  <c r="C431" i="14" a="1"/>
  <c r="D430" i="14" a="1"/>
  <c r="AC430" i="17" l="1"/>
  <c r="AD430" i="17"/>
  <c r="AF430" i="17" a="1"/>
  <c r="E430" i="24" s="1"/>
  <c r="C430" i="14" a="1"/>
  <c r="D429" i="14" a="1"/>
  <c r="AC429" i="17" l="1"/>
  <c r="AD429" i="17"/>
  <c r="AF429" i="17" a="1"/>
  <c r="E429" i="24" s="1"/>
  <c r="C429" i="14" a="1"/>
  <c r="D422" i="14" a="1"/>
  <c r="AD422" i="17" l="1"/>
  <c r="AC422" i="17"/>
  <c r="AF422" i="17" a="1"/>
  <c r="E422" i="24" s="1"/>
  <c r="C422" i="14" a="1"/>
  <c r="D421" i="14" a="1"/>
  <c r="AC421" i="17" l="1"/>
  <c r="AD421" i="17"/>
  <c r="AF421" i="17" a="1"/>
  <c r="E421" i="24" s="1"/>
  <c r="C421" i="14" a="1"/>
  <c r="D419" i="14" a="1"/>
  <c r="AC419" i="17" l="1"/>
  <c r="AD419" i="17"/>
  <c r="AF419" i="17" a="1"/>
  <c r="E419" i="24" s="1"/>
  <c r="C419" i="14" a="1"/>
  <c r="D416" i="14" a="1"/>
  <c r="AD416" i="17" l="1"/>
  <c r="AC416" i="17"/>
  <c r="AF416" i="17" a="1"/>
  <c r="E416" i="24" s="1"/>
  <c r="C416" i="14" a="1"/>
  <c r="D411" i="14" a="1"/>
  <c r="AD411" i="17" l="1"/>
  <c r="AC411" i="17"/>
  <c r="AF411" i="17" a="1"/>
  <c r="E411" i="24" s="1"/>
  <c r="C411" i="14" a="1"/>
  <c r="D768" i="14" a="1"/>
  <c r="AC768" i="17" l="1"/>
  <c r="AD768" i="17"/>
  <c r="AF768" i="17" a="1"/>
  <c r="E768" i="24" s="1"/>
  <c r="C768" i="14" a="1"/>
  <c r="D767" i="14" a="1"/>
  <c r="AD767" i="17" l="1"/>
  <c r="AC767" i="17"/>
  <c r="AF767" i="17" a="1"/>
  <c r="E767" i="24" s="1"/>
  <c r="C767" i="14" a="1"/>
  <c r="D766" i="14" a="1"/>
  <c r="AC766" i="17" l="1"/>
  <c r="AD766" i="17"/>
  <c r="AF766" i="17" a="1"/>
  <c r="E766" i="24" s="1"/>
  <c r="C766" i="14" a="1"/>
  <c r="D765" i="14" a="1"/>
  <c r="AC765" i="17" l="1"/>
  <c r="AD765" i="17"/>
  <c r="AF765" i="17" a="1"/>
  <c r="E765" i="24" s="1"/>
  <c r="C765" i="14" a="1"/>
  <c r="D764" i="14" a="1"/>
  <c r="AC764" i="17" l="1"/>
  <c r="AD764" i="17"/>
  <c r="AF764" i="17" a="1"/>
  <c r="E764" i="24" s="1"/>
  <c r="C764" i="14" a="1"/>
  <c r="D763" i="14" a="1"/>
  <c r="AC763" i="17" l="1"/>
  <c r="AD763" i="17"/>
  <c r="AF763" i="17" a="1"/>
  <c r="E763" i="24" s="1"/>
  <c r="E822" i="24" s="1"/>
  <c r="C763" i="14" a="1"/>
  <c r="D762" i="14" a="1"/>
  <c r="AD762" i="17" l="1"/>
  <c r="AC762" i="17"/>
  <c r="AF762" i="17" a="1"/>
  <c r="E762" i="24" s="1"/>
  <c r="C762" i="14" a="1"/>
  <c r="D761" i="14" a="1"/>
  <c r="AD761" i="17" l="1"/>
  <c r="AC761" i="17"/>
  <c r="AF761" i="17" a="1"/>
  <c r="E761" i="24" s="1"/>
  <c r="C761" i="14" a="1"/>
  <c r="D760" i="14" a="1"/>
  <c r="AC760" i="17" l="1"/>
  <c r="AD760" i="17"/>
  <c r="AF760" i="17" a="1"/>
  <c r="E760" i="24" s="1"/>
  <c r="C760" i="14" a="1"/>
  <c r="D759" i="14" a="1"/>
  <c r="AC759" i="17" l="1"/>
  <c r="AD759" i="17"/>
  <c r="AF759" i="17" a="1"/>
  <c r="E759" i="24" s="1"/>
  <c r="C759" i="14" a="1"/>
  <c r="D758" i="14" a="1"/>
  <c r="AC758" i="17" l="1"/>
  <c r="AD758" i="17"/>
  <c r="AF758" i="17" a="1"/>
  <c r="E758" i="24" s="1"/>
  <c r="C758" i="14" a="1"/>
  <c r="D757" i="14" a="1"/>
  <c r="AC757" i="17" l="1"/>
  <c r="AD757" i="17"/>
  <c r="AF757" i="17" a="1"/>
  <c r="E757" i="24" s="1"/>
  <c r="C757" i="14" a="1"/>
  <c r="D756" i="14" a="1"/>
  <c r="AC756" i="17" l="1"/>
  <c r="AD756" i="17"/>
  <c r="AF756" i="17" a="1"/>
  <c r="E756" i="24" s="1"/>
  <c r="C756" i="14" a="1"/>
  <c r="D755" i="14" a="1"/>
  <c r="AC755" i="17" l="1"/>
  <c r="AD755" i="17"/>
  <c r="AF755" i="17" a="1"/>
  <c r="E755" i="24" s="1"/>
  <c r="C755" i="14" a="1"/>
  <c r="D754" i="14" a="1"/>
  <c r="AD754" i="17" l="1"/>
  <c r="AC754" i="17"/>
  <c r="AF754" i="17" a="1"/>
  <c r="E754" i="24" s="1"/>
  <c r="E868" i="24" s="1"/>
  <c r="C754" i="14" a="1"/>
  <c r="D753" i="14" a="1"/>
  <c r="AC753" i="17" l="1"/>
  <c r="AD753" i="17"/>
  <c r="AF753" i="17" a="1"/>
  <c r="E753" i="24" s="1"/>
  <c r="C753" i="14" a="1"/>
  <c r="D752" i="14" a="1"/>
  <c r="AC752" i="17" l="1"/>
  <c r="AD752" i="17"/>
  <c r="AF752" i="17" a="1"/>
  <c r="E752" i="24" s="1"/>
  <c r="C752" i="14" a="1"/>
  <c r="D751" i="14" a="1"/>
  <c r="AD751" i="17" l="1"/>
  <c r="AC751" i="17"/>
  <c r="AF751" i="17" a="1"/>
  <c r="E751" i="24" s="1"/>
  <c r="C751" i="14" a="1"/>
  <c r="D750" i="14" a="1"/>
  <c r="AC750" i="17" l="1"/>
  <c r="AD750" i="17"/>
  <c r="AF750" i="17" a="1"/>
  <c r="E750" i="24" s="1"/>
  <c r="C750" i="14" a="1"/>
  <c r="D749" i="14" a="1"/>
  <c r="AC749" i="17" l="1"/>
  <c r="AD749" i="17"/>
  <c r="AF749" i="17" a="1"/>
  <c r="E749" i="24" s="1"/>
  <c r="C749" i="14" a="1"/>
  <c r="D748" i="14" a="1"/>
  <c r="AD748" i="17" l="1"/>
  <c r="AC748" i="17"/>
  <c r="AF748" i="17" a="1"/>
  <c r="E748" i="24" s="1"/>
  <c r="C748" i="14" a="1"/>
  <c r="D747" i="14" a="1"/>
  <c r="AC747" i="17" l="1"/>
  <c r="AD747" i="17"/>
  <c r="AF747" i="17" a="1"/>
  <c r="E747" i="24" s="1"/>
  <c r="C747" i="14" a="1"/>
  <c r="D746" i="14" a="1"/>
  <c r="AD746" i="17" l="1"/>
  <c r="AC746" i="17"/>
  <c r="AF746" i="17" a="1"/>
  <c r="E746" i="24" s="1"/>
  <c r="C746" i="14" a="1"/>
  <c r="D745" i="14" a="1"/>
  <c r="AD745" i="17" l="1"/>
  <c r="AC745" i="17"/>
  <c r="AF745" i="17" a="1"/>
  <c r="E745" i="24" s="1"/>
  <c r="C745" i="14" a="1"/>
  <c r="D744" i="14" a="1"/>
  <c r="AC744" i="17" l="1"/>
  <c r="AD744" i="17"/>
  <c r="AF744" i="17" a="1"/>
  <c r="E744" i="24" s="1"/>
  <c r="C744" i="14" a="1"/>
  <c r="D743" i="14" a="1"/>
  <c r="AD743" i="17" l="1"/>
  <c r="AC743" i="17"/>
  <c r="AF743" i="17" a="1"/>
  <c r="E743" i="24" s="1"/>
  <c r="C743" i="14" a="1"/>
  <c r="D742" i="14" a="1"/>
  <c r="AC742" i="17" l="1"/>
  <c r="AD742" i="17"/>
  <c r="AF742" i="17" a="1"/>
  <c r="E742" i="24" s="1"/>
  <c r="C742" i="14" a="1"/>
  <c r="D741" i="14" a="1"/>
  <c r="AC741" i="17" l="1"/>
  <c r="AD741" i="17"/>
  <c r="AF741" i="17" a="1"/>
  <c r="E741" i="24" s="1"/>
  <c r="C741" i="14" a="1"/>
  <c r="D740" i="14" a="1"/>
  <c r="AD740" i="17" l="1"/>
  <c r="AC740" i="17"/>
  <c r="AF740" i="17" a="1"/>
  <c r="E740" i="24" s="1"/>
  <c r="E855" i="24" s="1"/>
  <c r="C740" i="14" a="1"/>
  <c r="D739" i="14" a="1"/>
  <c r="AC739" i="17" l="1"/>
  <c r="AD739" i="17"/>
  <c r="AF739" i="17" a="1"/>
  <c r="E739" i="24" s="1"/>
  <c r="C739" i="14" a="1"/>
  <c r="D738" i="14" a="1"/>
  <c r="AC738" i="17" l="1"/>
  <c r="AD738" i="17"/>
  <c r="AF738" i="17" a="1"/>
  <c r="E738" i="24" s="1"/>
  <c r="C738" i="14" a="1"/>
  <c r="D737" i="14" a="1"/>
  <c r="AD737" i="17" l="1"/>
  <c r="AC737" i="17"/>
  <c r="AF737" i="17" a="1"/>
  <c r="E737" i="24" s="1"/>
  <c r="C737" i="14" a="1"/>
  <c r="D736" i="14" a="1"/>
  <c r="AC736" i="17" l="1"/>
  <c r="AD736" i="17"/>
  <c r="AF736" i="17" a="1"/>
  <c r="E736" i="24" s="1"/>
  <c r="C736" i="14" a="1"/>
  <c r="D735" i="14" a="1"/>
  <c r="AD735" i="17" l="1"/>
  <c r="AC735" i="17"/>
  <c r="AF735" i="17" a="1"/>
  <c r="E735" i="24" s="1"/>
  <c r="C735" i="14" a="1"/>
  <c r="D734" i="14" a="1"/>
  <c r="AD734" i="17" l="1"/>
  <c r="AC734" i="17"/>
  <c r="AF734" i="17" a="1"/>
  <c r="E734" i="24" s="1"/>
  <c r="C734" i="14" a="1"/>
  <c r="D733" i="14" a="1"/>
  <c r="AD733" i="17" l="1"/>
  <c r="AC733" i="17"/>
  <c r="AF733" i="17" a="1"/>
  <c r="E733" i="24" s="1"/>
  <c r="C733" i="14" a="1"/>
  <c r="D732" i="14" a="1"/>
  <c r="AC732" i="17" l="1"/>
  <c r="AD732" i="17"/>
  <c r="AF732" i="17" a="1"/>
  <c r="E732" i="24" s="1"/>
  <c r="C732" i="14" a="1"/>
  <c r="D731" i="14" a="1"/>
  <c r="AC731" i="17" l="1"/>
  <c r="AD731" i="17"/>
  <c r="AF731" i="17" a="1"/>
  <c r="E731" i="24" s="1"/>
  <c r="C731" i="14" a="1"/>
  <c r="D730" i="14" a="1"/>
  <c r="AC730" i="17" l="1"/>
  <c r="AD730" i="17"/>
  <c r="AF730" i="17" a="1"/>
  <c r="E730" i="24" s="1"/>
  <c r="C730" i="14" a="1"/>
  <c r="D729" i="14" a="1"/>
  <c r="AD729" i="17" l="1"/>
  <c r="AC729" i="17"/>
  <c r="AF729" i="17" a="1"/>
  <c r="E729" i="24" s="1"/>
  <c r="C729" i="14" a="1"/>
  <c r="D728" i="14" a="1"/>
  <c r="AC728" i="17" l="1"/>
  <c r="AD728" i="17"/>
  <c r="AF728" i="17" a="1"/>
  <c r="E728" i="24" s="1"/>
  <c r="C728" i="14" a="1"/>
  <c r="D727" i="14" a="1"/>
  <c r="AC727" i="17" l="1"/>
  <c r="AD727" i="17"/>
  <c r="AF727" i="17" a="1"/>
  <c r="E727" i="24" s="1"/>
  <c r="C727" i="14" a="1"/>
  <c r="D726" i="14" a="1"/>
  <c r="AC726" i="17" l="1"/>
  <c r="AD726" i="17"/>
  <c r="AF726" i="17" a="1"/>
  <c r="E726" i="24" s="1"/>
  <c r="C726" i="14" a="1"/>
  <c r="D725" i="14" a="1"/>
  <c r="AD725" i="17" l="1"/>
  <c r="AC725" i="17"/>
  <c r="AF725" i="17" a="1"/>
  <c r="E725" i="24" s="1"/>
  <c r="C725" i="14" a="1"/>
  <c r="D724" i="14" a="1"/>
  <c r="AC724" i="17" l="1"/>
  <c r="AD724" i="17"/>
  <c r="AF724" i="17" a="1"/>
  <c r="E724" i="24" s="1"/>
  <c r="C724" i="14" a="1"/>
  <c r="D723" i="14" a="1"/>
  <c r="AD723" i="17" l="1"/>
  <c r="AC723" i="17"/>
  <c r="AF723" i="17" a="1"/>
  <c r="E723" i="24" s="1"/>
  <c r="C723" i="14" a="1"/>
  <c r="D722" i="14" a="1"/>
  <c r="AD722" i="17" l="1"/>
  <c r="AC722" i="17"/>
  <c r="AF722" i="17" a="1"/>
  <c r="E722" i="24" s="1"/>
  <c r="C722" i="14" a="1"/>
  <c r="D721" i="14" a="1"/>
  <c r="AC721" i="17" l="1"/>
  <c r="AD721" i="17"/>
  <c r="AF721" i="17" a="1"/>
  <c r="E721" i="24" s="1"/>
  <c r="E846" i="24" s="1"/>
  <c r="C721" i="14" a="1"/>
  <c r="D720" i="14" a="1"/>
  <c r="AC720" i="17" l="1"/>
  <c r="AD720" i="17"/>
  <c r="AF720" i="17" a="1"/>
  <c r="E720" i="24" s="1"/>
  <c r="C720" i="14" a="1"/>
  <c r="D719" i="14" a="1"/>
  <c r="AC719" i="17" l="1"/>
  <c r="AD719" i="17"/>
  <c r="AF719" i="17" a="1"/>
  <c r="E719" i="24" s="1"/>
  <c r="C719" i="14" a="1"/>
  <c r="D718" i="14" a="1"/>
  <c r="AD718" i="17" l="1"/>
  <c r="AC718" i="17"/>
  <c r="AF718" i="17" a="1"/>
  <c r="E718" i="24" s="1"/>
  <c r="C718" i="14" a="1"/>
  <c r="D717" i="14" a="1"/>
  <c r="AC717" i="17" l="1"/>
  <c r="AD717" i="17"/>
  <c r="AF717" i="17" a="1"/>
  <c r="E717" i="24" s="1"/>
  <c r="C717" i="14" a="1"/>
  <c r="D716" i="14" a="1"/>
  <c r="AD716" i="17" l="1"/>
  <c r="AC716" i="17"/>
  <c r="AF716" i="17" a="1"/>
  <c r="E716" i="24" s="1"/>
  <c r="C716" i="14" a="1"/>
  <c r="D715" i="14" a="1"/>
  <c r="AC715" i="17" l="1"/>
  <c r="AD715" i="17"/>
  <c r="AF715" i="17" a="1"/>
  <c r="E715" i="24" s="1"/>
  <c r="C715" i="14" a="1"/>
  <c r="D714" i="14" a="1"/>
  <c r="AC714" i="17" l="1"/>
  <c r="AD714" i="17"/>
  <c r="AF714" i="17" a="1"/>
  <c r="E714" i="24" s="1"/>
  <c r="C714" i="14" a="1"/>
  <c r="D713" i="14" a="1"/>
  <c r="AC713" i="17" l="1"/>
  <c r="AD713" i="17"/>
  <c r="AF713" i="17" a="1"/>
  <c r="E713" i="24" s="1"/>
  <c r="C713" i="14" a="1"/>
  <c r="D712" i="14" a="1"/>
  <c r="AD712" i="17" l="1"/>
  <c r="AC712" i="17"/>
  <c r="AF712" i="17" a="1"/>
  <c r="E712" i="24" s="1"/>
  <c r="C712" i="14" a="1"/>
  <c r="D711" i="14" a="1"/>
  <c r="AD711" i="17" l="1"/>
  <c r="AC711" i="17"/>
  <c r="AF711" i="17" a="1"/>
  <c r="E711" i="24" s="1"/>
  <c r="C711" i="14" a="1"/>
  <c r="D710" i="14" a="1"/>
  <c r="AD710" i="17" l="1"/>
  <c r="AC710" i="17"/>
  <c r="AF710" i="17" a="1"/>
  <c r="E710" i="24" s="1"/>
  <c r="C710" i="14" a="1"/>
  <c r="D709" i="14" a="1"/>
  <c r="AD709" i="17" l="1"/>
  <c r="AC709" i="17"/>
  <c r="AF709" i="17" a="1"/>
  <c r="E709" i="24" s="1"/>
  <c r="C709" i="14" a="1"/>
  <c r="D708" i="14" a="1"/>
  <c r="AC708" i="17" l="1"/>
  <c r="AD708" i="17"/>
  <c r="AF708" i="17" a="1"/>
  <c r="E708" i="24" s="1"/>
  <c r="C708" i="14" a="1"/>
  <c r="D707" i="14" a="1"/>
  <c r="AC707" i="17" l="1"/>
  <c r="AD707" i="17"/>
  <c r="AF707" i="17" a="1"/>
  <c r="E707" i="24" s="1"/>
  <c r="C707" i="14" a="1"/>
  <c r="D706" i="14" a="1"/>
  <c r="AD706" i="17" l="1"/>
  <c r="AC706" i="17"/>
  <c r="AF706" i="17" a="1"/>
  <c r="E706" i="24" s="1"/>
  <c r="C706" i="14" a="1"/>
  <c r="D705" i="14" a="1"/>
  <c r="AC705" i="17" l="1"/>
  <c r="AD705" i="17"/>
  <c r="AF705" i="17" a="1"/>
  <c r="E705" i="24" s="1"/>
  <c r="C705" i="14" a="1"/>
  <c r="D704" i="14" a="1"/>
  <c r="AC704" i="17" l="1"/>
  <c r="AD704" i="17"/>
  <c r="AF704" i="17" a="1"/>
  <c r="E704" i="24" s="1"/>
  <c r="C704" i="14" a="1"/>
  <c r="D703" i="14" a="1"/>
  <c r="AD703" i="17" l="1"/>
  <c r="AC703" i="17"/>
  <c r="AF703" i="17" a="1"/>
  <c r="E703" i="24" s="1"/>
  <c r="C703" i="14" a="1"/>
  <c r="D702" i="14" a="1"/>
  <c r="AC702" i="17" l="1"/>
  <c r="AD702" i="17"/>
  <c r="AF702" i="17" a="1"/>
  <c r="E702" i="24" s="1"/>
  <c r="C702" i="14" a="1"/>
  <c r="D701" i="14" a="1"/>
  <c r="AD701" i="17" l="1"/>
  <c r="AC701" i="17"/>
  <c r="AF701" i="17" a="1"/>
  <c r="E701" i="24" s="1"/>
  <c r="C701" i="14" a="1"/>
  <c r="D700" i="14" a="1"/>
  <c r="AC700" i="17" l="1"/>
  <c r="AD700" i="17"/>
  <c r="AF700" i="17" a="1"/>
  <c r="E700" i="24" s="1"/>
  <c r="C700" i="14" a="1"/>
  <c r="D699" i="14" a="1"/>
  <c r="AC699" i="17" l="1"/>
  <c r="AD699" i="17"/>
  <c r="AF699" i="17" a="1"/>
  <c r="E699" i="24" s="1"/>
  <c r="C699" i="14" a="1"/>
  <c r="D698" i="14" a="1"/>
  <c r="AD698" i="17" l="1"/>
  <c r="AC698" i="17"/>
  <c r="AF698" i="17" a="1"/>
  <c r="E698" i="24" s="1"/>
  <c r="C698" i="14" a="1"/>
  <c r="D697" i="14" a="1"/>
  <c r="AC697" i="17" l="1"/>
  <c r="AD697" i="17"/>
  <c r="AF697" i="17" a="1"/>
  <c r="E697" i="24" s="1"/>
  <c r="C697" i="14" a="1"/>
  <c r="D696" i="14" a="1"/>
  <c r="AD696" i="17" l="1"/>
  <c r="AC696" i="17"/>
  <c r="AF696" i="17" a="1"/>
  <c r="E696" i="24" s="1"/>
  <c r="C696" i="14" a="1"/>
  <c r="D695" i="14" a="1"/>
  <c r="AC695" i="17" l="1"/>
  <c r="AD695" i="17"/>
  <c r="AF695" i="17" a="1"/>
  <c r="E695" i="24" s="1"/>
  <c r="C695" i="14" a="1"/>
  <c r="D694" i="14" a="1"/>
  <c r="AC694" i="17" l="1"/>
  <c r="AD694" i="17"/>
  <c r="AF694" i="17" a="1"/>
  <c r="E694" i="24" s="1"/>
  <c r="C694" i="14" a="1"/>
  <c r="D693" i="14" a="1"/>
  <c r="AD693" i="17" l="1"/>
  <c r="AC693" i="17"/>
  <c r="AF693" i="17" a="1"/>
  <c r="E693" i="24" s="1"/>
  <c r="C693" i="14" a="1"/>
  <c r="D692" i="14" a="1"/>
  <c r="AD692" i="17" l="1"/>
  <c r="AC692" i="17"/>
  <c r="AF692" i="17" a="1"/>
  <c r="E692" i="24" s="1"/>
  <c r="C692" i="14" a="1"/>
  <c r="D691" i="14" a="1"/>
  <c r="AC691" i="17" l="1"/>
  <c r="AD691" i="17"/>
  <c r="AF691" i="17" a="1"/>
  <c r="E691" i="24" s="1"/>
  <c r="C691" i="14" a="1"/>
  <c r="D690" i="14" a="1"/>
  <c r="AC690" i="17" l="1"/>
  <c r="AD690" i="17"/>
  <c r="AF690" i="17" a="1"/>
  <c r="E690" i="24" s="1"/>
  <c r="C690" i="14" a="1"/>
  <c r="D689" i="14" a="1"/>
  <c r="AD689" i="17" l="1"/>
  <c r="AC689" i="17"/>
  <c r="AF689" i="17" a="1"/>
  <c r="E689" i="24" s="1"/>
  <c r="C689" i="14" a="1"/>
  <c r="D688" i="14" a="1"/>
  <c r="AC688" i="17" l="1"/>
  <c r="AD688" i="17"/>
  <c r="AF688" i="17" a="1"/>
  <c r="E688" i="24" s="1"/>
  <c r="C688" i="14" a="1"/>
  <c r="D687" i="14" a="1"/>
  <c r="AC687" i="17" l="1"/>
  <c r="AD687" i="17"/>
  <c r="AF687" i="17" a="1"/>
  <c r="E687" i="24" s="1"/>
  <c r="C687" i="14" a="1"/>
  <c r="D686" i="14" a="1"/>
  <c r="AD686" i="17" l="1"/>
  <c r="AC686" i="17"/>
  <c r="AF686" i="17" a="1"/>
  <c r="E686" i="24" s="1"/>
  <c r="C686" i="14" a="1"/>
  <c r="D685" i="14" a="1"/>
  <c r="AC685" i="17" l="1"/>
  <c r="AD685" i="17"/>
  <c r="AF685" i="17" a="1"/>
  <c r="E685" i="24" s="1"/>
  <c r="C685" i="14" a="1"/>
  <c r="D684" i="14" a="1"/>
  <c r="AC684" i="17" l="1"/>
  <c r="AD684" i="17"/>
  <c r="AF684" i="17" a="1"/>
  <c r="E684" i="24" s="1"/>
  <c r="C684" i="14" a="1"/>
  <c r="D683" i="14" a="1"/>
  <c r="AC683" i="17" l="1"/>
  <c r="AD683" i="17"/>
  <c r="AF683" i="17" a="1"/>
  <c r="E683" i="24" s="1"/>
  <c r="C683" i="14" a="1"/>
  <c r="D682" i="14" a="1"/>
  <c r="AD682" i="17" l="1"/>
  <c r="AC682" i="17"/>
  <c r="AF682" i="17" a="1"/>
  <c r="E682" i="24" s="1"/>
  <c r="C682" i="14" a="1"/>
  <c r="D681" i="14" a="1"/>
  <c r="AC681" i="17" l="1"/>
  <c r="AD681" i="17"/>
  <c r="AF681" i="17" a="1"/>
  <c r="E681" i="24" s="1"/>
  <c r="C681" i="14" a="1"/>
  <c r="D680" i="14" a="1"/>
  <c r="AD680" i="17" l="1"/>
  <c r="AC680" i="17"/>
  <c r="AF680" i="17" a="1"/>
  <c r="E680" i="24" s="1"/>
  <c r="C680" i="14" a="1"/>
  <c r="D679" i="14" a="1"/>
  <c r="AC679" i="17" l="1"/>
  <c r="AD679" i="17"/>
  <c r="AF679" i="17" a="1"/>
  <c r="E679" i="24" s="1"/>
  <c r="C679" i="14" a="1"/>
  <c r="D678" i="14" a="1"/>
  <c r="AC678" i="17" l="1"/>
  <c r="AD678" i="17"/>
  <c r="AF678" i="17" a="1"/>
  <c r="E678" i="24" s="1"/>
  <c r="C678" i="14" a="1"/>
  <c r="D677" i="14" a="1"/>
  <c r="AD677" i="17" l="1"/>
  <c r="AC677" i="17"/>
  <c r="AF677" i="17" a="1"/>
  <c r="E677" i="24" s="1"/>
  <c r="C677" i="14" a="1"/>
  <c r="D676" i="14" a="1"/>
  <c r="AD676" i="17" l="1"/>
  <c r="AC676" i="17"/>
  <c r="AF676" i="17" a="1"/>
  <c r="E676" i="24" s="1"/>
  <c r="C676" i="14" a="1"/>
  <c r="D675" i="14" a="1"/>
  <c r="AD675" i="17" l="1"/>
  <c r="AC675" i="17"/>
  <c r="AF675" i="17" a="1"/>
  <c r="E675" i="24" s="1"/>
  <c r="C675" i="14" a="1"/>
  <c r="D674" i="14" a="1"/>
  <c r="AC674" i="17" l="1"/>
  <c r="AD674" i="17"/>
  <c r="AF674" i="17" a="1"/>
  <c r="E674" i="24" s="1"/>
  <c r="C674" i="14" a="1"/>
  <c r="D673" i="14" a="1"/>
  <c r="AD673" i="17" l="1"/>
  <c r="AC673" i="17"/>
  <c r="AF673" i="17" a="1"/>
  <c r="E673" i="24" s="1"/>
  <c r="C673" i="14" a="1"/>
  <c r="D672" i="14" a="1"/>
  <c r="AC672" i="17" l="1"/>
  <c r="AD672" i="17"/>
  <c r="AF672" i="17" a="1"/>
  <c r="E672" i="24" s="1"/>
  <c r="C672" i="14" a="1"/>
  <c r="D671" i="14" a="1"/>
  <c r="AC671" i="17" l="1"/>
  <c r="AD671" i="17"/>
  <c r="AF671" i="17" a="1"/>
  <c r="E671" i="24" s="1"/>
  <c r="C671" i="14" a="1"/>
  <c r="D670" i="14" a="1"/>
  <c r="AD670" i="17" l="1"/>
  <c r="AC670" i="17"/>
  <c r="AF670" i="17" a="1"/>
  <c r="E670" i="24" s="1"/>
  <c r="C670" i="14" a="1"/>
  <c r="D669" i="14" a="1"/>
  <c r="AC669" i="17" l="1"/>
  <c r="AD669" i="17"/>
  <c r="AF669" i="17" a="1"/>
  <c r="E669" i="24" s="1"/>
  <c r="C669" i="14" a="1"/>
  <c r="D668" i="14" a="1"/>
  <c r="AC668" i="17" l="1"/>
  <c r="AD668" i="17"/>
  <c r="AF668" i="17" a="1"/>
  <c r="E668" i="24" s="1"/>
  <c r="C668" i="14" a="1"/>
  <c r="D667" i="14" a="1"/>
  <c r="AD667" i="17" l="1"/>
  <c r="AC667" i="17"/>
  <c r="AF667" i="17" a="1"/>
  <c r="E667" i="24" s="1"/>
  <c r="C667" i="14" a="1"/>
  <c r="D666" i="14" a="1"/>
  <c r="AC666" i="17" l="1"/>
  <c r="AD666" i="17"/>
  <c r="AF666" i="17" a="1"/>
  <c r="E666" i="24" s="1"/>
  <c r="C666" i="14" a="1"/>
  <c r="D665" i="14" a="1"/>
  <c r="AD665" i="17" l="1"/>
  <c r="AC665" i="17"/>
  <c r="AF665" i="17" a="1"/>
  <c r="E665" i="24" s="1"/>
  <c r="C665" i="14" a="1"/>
  <c r="D664" i="14" a="1"/>
  <c r="AC664" i="17" l="1"/>
  <c r="AD664" i="17"/>
  <c r="AF664" i="17" a="1"/>
  <c r="E664" i="24" s="1"/>
  <c r="C664" i="14" a="1"/>
  <c r="D663" i="14" a="1"/>
  <c r="AD663" i="17" l="1"/>
  <c r="AC663" i="17"/>
  <c r="AF663" i="17" a="1"/>
  <c r="E663" i="24" s="1"/>
  <c r="C663" i="14" a="1"/>
  <c r="D662" i="14" a="1"/>
  <c r="AC662" i="17" l="1"/>
  <c r="AD662" i="17"/>
  <c r="AF662" i="17" a="1"/>
  <c r="E662" i="24" s="1"/>
  <c r="C662" i="14" a="1"/>
  <c r="D661" i="14" a="1"/>
  <c r="AC661" i="17" l="1"/>
  <c r="AD661" i="17"/>
  <c r="AF661" i="17" a="1"/>
  <c r="E661" i="24" s="1"/>
  <c r="C661" i="14" a="1"/>
  <c r="D660" i="14" a="1"/>
  <c r="AD660" i="17" l="1"/>
  <c r="AC660" i="17"/>
  <c r="AF660" i="17" a="1"/>
  <c r="E660" i="24" s="1"/>
  <c r="C660" i="14" a="1"/>
  <c r="D659" i="14" a="1"/>
  <c r="AC659" i="17" l="1"/>
  <c r="AD659" i="17"/>
  <c r="AF659" i="17" a="1"/>
  <c r="E659" i="24" s="1"/>
  <c r="C659" i="14" a="1"/>
  <c r="D658" i="14" a="1"/>
  <c r="AC658" i="17" l="1"/>
  <c r="AD658" i="17"/>
  <c r="AF658" i="17" a="1"/>
  <c r="E658" i="24" s="1"/>
  <c r="C658" i="14" a="1"/>
  <c r="D657" i="14" a="1"/>
  <c r="AD657" i="17" l="1"/>
  <c r="AC657" i="17"/>
  <c r="AF657" i="17" a="1"/>
  <c r="E657" i="24" s="1"/>
  <c r="C657" i="14" a="1"/>
  <c r="D656" i="14" a="1"/>
  <c r="AC656" i="17" l="1"/>
  <c r="AD656" i="17"/>
  <c r="AF656" i="17" a="1"/>
  <c r="E656" i="24" s="1"/>
  <c r="C656" i="14" a="1"/>
  <c r="D655" i="14" a="1"/>
  <c r="AD655" i="17" l="1"/>
  <c r="AC655" i="17"/>
  <c r="AF655" i="17" a="1"/>
  <c r="E655" i="24" s="1"/>
  <c r="C655" i="14" a="1"/>
  <c r="D654" i="14" a="1"/>
  <c r="AD654" i="17" l="1"/>
  <c r="AC654" i="17"/>
  <c r="AF654" i="17" a="1"/>
  <c r="E654" i="24" s="1"/>
  <c r="C654" i="14" a="1"/>
  <c r="D653" i="14" a="1"/>
  <c r="AC653" i="17" l="1"/>
  <c r="AD653" i="17"/>
  <c r="AF653" i="17" a="1"/>
  <c r="E653" i="24" s="1"/>
  <c r="C653" i="14" a="1"/>
  <c r="D652" i="14" a="1"/>
  <c r="AC652" i="17" l="1"/>
  <c r="AD652" i="17"/>
  <c r="AF652" i="17" a="1"/>
  <c r="E652" i="24" s="1"/>
  <c r="C652" i="14" a="1"/>
  <c r="D651" i="14" a="1"/>
  <c r="AD651" i="17" l="1"/>
  <c r="AC651" i="17"/>
  <c r="AF651" i="17" a="1"/>
  <c r="E651" i="24" s="1"/>
  <c r="C651" i="14" a="1"/>
  <c r="D650" i="14" a="1"/>
  <c r="AC650" i="17" l="1"/>
  <c r="AD650" i="17"/>
  <c r="AF650" i="17" a="1"/>
  <c r="E650" i="24" s="1"/>
  <c r="C650" i="14" a="1"/>
  <c r="D649" i="14" a="1"/>
  <c r="AD649" i="17" l="1"/>
  <c r="AC649" i="17"/>
  <c r="AF649" i="17" a="1"/>
  <c r="E649" i="24" s="1"/>
  <c r="C649" i="14" a="1"/>
  <c r="D648" i="14" a="1"/>
  <c r="AD648" i="17" l="1"/>
  <c r="AC648" i="17"/>
  <c r="AF648" i="17" a="1"/>
  <c r="E648" i="24" s="1"/>
  <c r="C648" i="14" a="1"/>
  <c r="D647" i="14" a="1"/>
  <c r="AC647" i="17" l="1"/>
  <c r="AD647" i="17"/>
  <c r="AF647" i="17" a="1"/>
  <c r="E647" i="24" s="1"/>
  <c r="C647" i="14" a="1"/>
  <c r="D646" i="14" a="1"/>
  <c r="AC646" i="17" l="1"/>
  <c r="AD646" i="17"/>
  <c r="AF646" i="17" a="1"/>
  <c r="E646" i="24" s="1"/>
  <c r="C646" i="14" a="1"/>
  <c r="D645" i="14" a="1"/>
  <c r="AD645" i="17" l="1"/>
  <c r="AC645" i="17"/>
  <c r="AF645" i="17" a="1"/>
  <c r="E645" i="24" s="1"/>
  <c r="C645" i="14" a="1"/>
  <c r="D644" i="14" a="1"/>
  <c r="AC644" i="17" l="1"/>
  <c r="AD644" i="17"/>
  <c r="AF644" i="17" a="1"/>
  <c r="E644" i="24" s="1"/>
  <c r="C644" i="14" a="1"/>
  <c r="D643" i="14" a="1"/>
  <c r="AD643" i="17" l="1"/>
  <c r="AC643" i="17"/>
  <c r="AF643" i="17" a="1"/>
  <c r="E643" i="24" s="1"/>
  <c r="C643" i="14" a="1"/>
  <c r="D642" i="14" a="1"/>
  <c r="AC642" i="17" l="1"/>
  <c r="AD642" i="17"/>
  <c r="AF642" i="17" a="1"/>
  <c r="E642" i="24" s="1"/>
  <c r="C642" i="14" a="1"/>
  <c r="D641" i="14" a="1"/>
  <c r="AD641" i="17" l="1"/>
  <c r="AC641" i="17"/>
  <c r="AF641" i="17" a="1"/>
  <c r="E641" i="24" s="1"/>
  <c r="C641" i="14" a="1"/>
  <c r="D640" i="14" a="1"/>
  <c r="AD640" i="17" l="1"/>
  <c r="AC640" i="17"/>
  <c r="AF640" i="17" a="1"/>
  <c r="E640" i="24" s="1"/>
  <c r="C640" i="14" a="1"/>
  <c r="D639" i="14" a="1"/>
  <c r="AC639" i="17" l="1"/>
  <c r="AD639" i="17"/>
  <c r="AF639" i="17" a="1"/>
  <c r="E639" i="24" s="1"/>
  <c r="C639" i="14" a="1"/>
  <c r="D638" i="14" a="1"/>
  <c r="AD638" i="17" l="1"/>
  <c r="AC638" i="17"/>
  <c r="AF638" i="17" a="1"/>
  <c r="E638" i="24" s="1"/>
  <c r="C638" i="14" a="1"/>
  <c r="D637" i="14" a="1"/>
  <c r="AC637" i="17" l="1"/>
  <c r="AD637" i="17"/>
  <c r="AF637" i="17" a="1"/>
  <c r="E637" i="24" s="1"/>
  <c r="C637" i="14" a="1"/>
  <c r="D636" i="14" a="1"/>
  <c r="AC636" i="17" l="1"/>
  <c r="AD636" i="17"/>
  <c r="AF636" i="17" a="1"/>
  <c r="E636" i="24" s="1"/>
  <c r="C636" i="14" a="1"/>
  <c r="D635" i="14" a="1"/>
  <c r="AD635" i="17" l="1"/>
  <c r="AC635" i="17"/>
  <c r="AF635" i="17" a="1"/>
  <c r="E635" i="24" s="1"/>
  <c r="C635" i="14" a="1"/>
  <c r="D634" i="14" a="1"/>
  <c r="AC634" i="17" l="1"/>
  <c r="AD634" i="17"/>
  <c r="AF634" i="17" a="1"/>
  <c r="E634" i="24" s="1"/>
  <c r="C634" i="14" a="1"/>
  <c r="D633" i="14" a="1"/>
  <c r="AC633" i="17" l="1"/>
  <c r="AD633" i="17"/>
  <c r="AF633" i="17" a="1"/>
  <c r="E633" i="24" s="1"/>
  <c r="C633" i="14" a="1"/>
  <c r="D632" i="14" a="1"/>
  <c r="AC632" i="17" l="1"/>
  <c r="AD632" i="17"/>
  <c r="AF632" i="17" a="1"/>
  <c r="E632" i="24" s="1"/>
  <c r="C632" i="14" a="1"/>
  <c r="D631" i="14" a="1"/>
  <c r="AC631" i="17" l="1"/>
  <c r="AD631" i="17"/>
  <c r="AF631" i="17" a="1"/>
  <c r="E631" i="24" s="1"/>
  <c r="C631" i="14" a="1"/>
  <c r="D630" i="14" a="1"/>
  <c r="AC630" i="17" l="1"/>
  <c r="AD630" i="17"/>
  <c r="AF630" i="17" a="1"/>
  <c r="E630" i="24" s="1"/>
  <c r="C630" i="14" a="1"/>
  <c r="D629" i="14" a="1"/>
  <c r="AC629" i="17" l="1"/>
  <c r="AD629" i="17"/>
  <c r="AF629" i="17" a="1"/>
  <c r="E629" i="24" s="1"/>
  <c r="C629" i="14" a="1"/>
  <c r="D628" i="14" a="1"/>
  <c r="AC628" i="17" l="1"/>
  <c r="AD628" i="17"/>
  <c r="AF628" i="17" a="1"/>
  <c r="E628" i="24" s="1"/>
  <c r="C628" i="14" a="1"/>
  <c r="D627" i="14" a="1"/>
  <c r="AD627" i="17" l="1"/>
  <c r="AC627" i="17"/>
  <c r="AF627" i="17" a="1"/>
  <c r="E627" i="24" s="1"/>
  <c r="C627" i="14" a="1"/>
  <c r="D626" i="14" a="1"/>
  <c r="AD626" i="17" l="1"/>
  <c r="AC626" i="17"/>
  <c r="AF626" i="17" a="1"/>
  <c r="C626" i="14" a="1"/>
  <c r="D625" i="14" a="1"/>
  <c r="AC625" i="17" l="1"/>
  <c r="AD625" i="17"/>
  <c r="AF625" i="17" a="1"/>
  <c r="E625" i="24" s="1"/>
  <c r="C625" i="14" a="1"/>
  <c r="D624" i="14" a="1"/>
  <c r="AC624" i="17" l="1"/>
  <c r="AD624" i="17"/>
  <c r="AF624" i="17" a="1"/>
  <c r="E624" i="24" s="1"/>
  <c r="C624" i="14" a="1"/>
  <c r="D623" i="14" a="1"/>
  <c r="AD623" i="17" l="1"/>
  <c r="AC623" i="17"/>
  <c r="AF623" i="17" a="1"/>
  <c r="E623" i="24" s="1"/>
  <c r="C623" i="14" a="1"/>
  <c r="D622" i="14" a="1"/>
  <c r="AC622" i="17" l="1"/>
  <c r="AD622" i="17"/>
  <c r="AF622" i="17" a="1"/>
  <c r="E622" i="24" s="1"/>
  <c r="C622" i="14" a="1"/>
  <c r="D621" i="14" a="1"/>
  <c r="AC621" i="17" l="1"/>
  <c r="AD621" i="17"/>
  <c r="AF621" i="17" a="1"/>
  <c r="E621" i="24" s="1"/>
  <c r="C621" i="14" a="1"/>
  <c r="D620" i="14" a="1"/>
  <c r="AD620" i="17" l="1"/>
  <c r="AC620" i="17"/>
  <c r="AF620" i="17" a="1"/>
  <c r="E620" i="24" s="1"/>
  <c r="C620" i="14" a="1"/>
  <c r="D619" i="14" a="1"/>
  <c r="AC619" i="17" l="1"/>
  <c r="AD619" i="17"/>
  <c r="AF619" i="17" a="1"/>
  <c r="E619" i="24" s="1"/>
  <c r="C619" i="14" a="1"/>
  <c r="D618" i="14" a="1"/>
  <c r="AC618" i="17" l="1"/>
  <c r="AD618" i="17"/>
  <c r="AF618" i="17" a="1"/>
  <c r="C618" i="14" a="1"/>
  <c r="D617" i="14" a="1"/>
  <c r="AC617" i="17" l="1"/>
  <c r="AD617" i="17"/>
  <c r="AF617" i="17" a="1"/>
  <c r="E617" i="24" s="1"/>
  <c r="C617" i="14" a="1"/>
  <c r="D616" i="14" a="1"/>
  <c r="AD616" i="17" l="1"/>
  <c r="AC616" i="17"/>
  <c r="AF616" i="17" a="1"/>
  <c r="E616" i="24" s="1"/>
  <c r="C616" i="14" a="1"/>
  <c r="D615" i="14" a="1"/>
  <c r="AD615" i="17" l="1"/>
  <c r="AC615" i="17"/>
  <c r="AF615" i="17" a="1"/>
  <c r="E615" i="24" s="1"/>
  <c r="C615" i="14" a="1"/>
  <c r="D614" i="14" a="1"/>
  <c r="AD614" i="17" l="1"/>
  <c r="AC614" i="17"/>
  <c r="AF614" i="17" a="1"/>
  <c r="E614" i="24" s="1"/>
  <c r="C614" i="14" a="1"/>
  <c r="D613" i="14" a="1"/>
  <c r="AD613" i="17" l="1"/>
  <c r="AC613" i="17"/>
  <c r="AF613" i="17" a="1"/>
  <c r="E613" i="24" s="1"/>
  <c r="C613" i="14" a="1"/>
  <c r="D612" i="14" a="1"/>
  <c r="AC612" i="17" l="1"/>
  <c r="AD612" i="17"/>
  <c r="AF612" i="17" a="1"/>
  <c r="E612" i="24" s="1"/>
  <c r="C612" i="14" a="1"/>
  <c r="D611" i="14" a="1"/>
  <c r="AD611" i="17" l="1"/>
  <c r="AC611" i="17"/>
  <c r="AF611" i="17" a="1"/>
  <c r="E611" i="24" s="1"/>
  <c r="C611" i="14" a="1"/>
  <c r="D610" i="14" a="1"/>
  <c r="AD610" i="17" l="1"/>
  <c r="AC610" i="17"/>
  <c r="AF610" i="17" a="1"/>
  <c r="C610" i="14" a="1"/>
  <c r="D609" i="14" a="1"/>
  <c r="AD609" i="17" l="1"/>
  <c r="AC609" i="17"/>
  <c r="AF609" i="17" a="1"/>
  <c r="E609" i="24" s="1"/>
  <c r="E618" i="24" s="1"/>
  <c r="C609" i="14" a="1"/>
  <c r="D608" i="14" a="1"/>
  <c r="AD608" i="17" l="1"/>
  <c r="AC608" i="17"/>
  <c r="AF608" i="17" a="1"/>
  <c r="E608" i="24" s="1"/>
  <c r="C608" i="14" a="1"/>
  <c r="D607" i="14" a="1"/>
  <c r="AD607" i="17" l="1"/>
  <c r="AC607" i="17"/>
  <c r="AF607" i="17" a="1"/>
  <c r="E607" i="24" s="1"/>
  <c r="C607" i="14" a="1"/>
  <c r="D606" i="14" a="1"/>
  <c r="AC606" i="17" l="1"/>
  <c r="AD606" i="17"/>
  <c r="AF606" i="17" a="1"/>
  <c r="E606" i="24" s="1"/>
  <c r="C606" i="14" a="1"/>
  <c r="D605" i="14" a="1"/>
  <c r="AD605" i="17" l="1"/>
  <c r="AC605" i="17"/>
  <c r="AF605" i="17" a="1"/>
  <c r="E605" i="24" s="1"/>
  <c r="C605" i="14" a="1"/>
  <c r="D604" i="14" a="1"/>
  <c r="AD604" i="17" l="1"/>
  <c r="AC604" i="17"/>
  <c r="AF604" i="17" a="1"/>
  <c r="E604" i="24" s="1"/>
  <c r="C604" i="14" a="1"/>
  <c r="D603" i="14" a="1"/>
  <c r="AD603" i="17" l="1"/>
  <c r="AC603" i="17"/>
  <c r="AF603" i="17" a="1"/>
  <c r="E603" i="24" s="1"/>
  <c r="C603" i="14" a="1"/>
  <c r="D602" i="14" a="1"/>
  <c r="AC602" i="17" l="1"/>
  <c r="AD602" i="17"/>
  <c r="AF602" i="17" a="1"/>
  <c r="E602" i="24" s="1"/>
  <c r="C602" i="14" a="1"/>
  <c r="D601" i="14" a="1"/>
  <c r="AD601" i="17" l="1"/>
  <c r="AC601" i="17"/>
  <c r="AF601" i="17" a="1"/>
  <c r="E601" i="24" s="1"/>
  <c r="C601" i="14" a="1"/>
  <c r="D600" i="14" a="1"/>
  <c r="AC600" i="17" l="1"/>
  <c r="AD600" i="17"/>
  <c r="AF600" i="17" a="1"/>
  <c r="E600" i="24" s="1"/>
  <c r="C600" i="14" a="1"/>
  <c r="D599" i="14" a="1"/>
  <c r="AD599" i="17" l="1"/>
  <c r="AC599" i="17"/>
  <c r="AF599" i="17" a="1"/>
  <c r="E599" i="24" s="1"/>
  <c r="C599" i="14" a="1"/>
  <c r="D598" i="14" a="1"/>
  <c r="AD598" i="17" l="1"/>
  <c r="AC598" i="17"/>
  <c r="AF598" i="17" a="1"/>
  <c r="E598" i="24" s="1"/>
  <c r="C598" i="14" a="1"/>
  <c r="D597" i="14" a="1"/>
  <c r="AD597" i="17" l="1"/>
  <c r="AC597" i="17"/>
  <c r="AF597" i="17" a="1"/>
  <c r="E597" i="24" s="1"/>
  <c r="C597" i="14" a="1"/>
  <c r="D596" i="14" a="1"/>
  <c r="AD596" i="17" l="1"/>
  <c r="AC596" i="17"/>
  <c r="AF596" i="17" a="1"/>
  <c r="E596" i="24" s="1"/>
  <c r="C596" i="14" a="1"/>
  <c r="D595" i="14" a="1"/>
  <c r="AC595" i="17" l="1"/>
  <c r="AD595" i="17"/>
  <c r="AF595" i="17" a="1"/>
  <c r="E595" i="24" s="1"/>
  <c r="C595" i="14" a="1"/>
  <c r="D594" i="14" a="1"/>
  <c r="AD594" i="17" l="1"/>
  <c r="AC594" i="17"/>
  <c r="AF594" i="17" a="1"/>
  <c r="E594" i="24" s="1"/>
  <c r="C594" i="14" a="1"/>
  <c r="D593" i="14" a="1"/>
  <c r="AD593" i="17" l="1"/>
  <c r="AC593" i="17"/>
  <c r="AF593" i="17" a="1"/>
  <c r="E593" i="24" s="1"/>
  <c r="C593" i="14" a="1"/>
  <c r="D592" i="14" a="1"/>
  <c r="AC592" i="17" l="1"/>
  <c r="AD592" i="17"/>
  <c r="AF592" i="17" a="1"/>
  <c r="E592" i="24" s="1"/>
  <c r="C592" i="14" a="1"/>
  <c r="D591" i="14" a="1"/>
  <c r="AD591" i="17" l="1"/>
  <c r="AC591" i="17"/>
  <c r="AF591" i="17" a="1"/>
  <c r="E591" i="24" s="1"/>
  <c r="C591" i="14" a="1"/>
  <c r="D590" i="14" a="1"/>
  <c r="AD590" i="17" l="1"/>
  <c r="AC590" i="17"/>
  <c r="AF590" i="17" a="1"/>
  <c r="E590" i="24" s="1"/>
  <c r="C590" i="14" a="1"/>
  <c r="D589" i="14" a="1"/>
  <c r="AD589" i="17" l="1"/>
  <c r="AC589" i="17"/>
  <c r="AF589" i="17" a="1"/>
  <c r="E589" i="24" s="1"/>
  <c r="C589" i="14" a="1"/>
  <c r="D588" i="14" a="1"/>
  <c r="AC588" i="17" l="1"/>
  <c r="AD588" i="17"/>
  <c r="AF588" i="17" a="1"/>
  <c r="E588" i="24" s="1"/>
  <c r="C588" i="14" a="1"/>
  <c r="D587" i="14" a="1"/>
  <c r="AD587" i="17" l="1"/>
  <c r="AC587" i="17"/>
  <c r="AF587" i="17" a="1"/>
  <c r="E587" i="24" s="1"/>
  <c r="C587" i="14" a="1"/>
  <c r="D586" i="14" a="1"/>
  <c r="AD586" i="17" l="1"/>
  <c r="AC586" i="17"/>
  <c r="AF586" i="17" a="1"/>
  <c r="E586" i="24" s="1"/>
  <c r="C586" i="14" a="1"/>
  <c r="D585" i="14" a="1"/>
  <c r="AD585" i="17" l="1"/>
  <c r="AC585" i="17"/>
  <c r="AF585" i="17" a="1"/>
  <c r="E585" i="24" s="1"/>
  <c r="C585" i="14" a="1"/>
  <c r="D584" i="14" a="1"/>
  <c r="AD584" i="17" l="1"/>
  <c r="AC584" i="17"/>
  <c r="AF584" i="17" a="1"/>
  <c r="E584" i="24" s="1"/>
  <c r="C584" i="14" a="1"/>
  <c r="D583" i="14" a="1"/>
  <c r="AC583" i="17" l="1"/>
  <c r="AD583" i="17"/>
  <c r="AF583" i="17" a="1"/>
  <c r="E583" i="24" s="1"/>
  <c r="C583" i="14" a="1"/>
  <c r="D582" i="14" a="1"/>
  <c r="AD582" i="17" l="1"/>
  <c r="AC582" i="17"/>
  <c r="AF582" i="17" a="1"/>
  <c r="E582" i="24" s="1"/>
  <c r="C582" i="14" a="1"/>
  <c r="D581" i="14" a="1"/>
  <c r="AD581" i="17" l="1"/>
  <c r="AC581" i="17"/>
  <c r="AF581" i="17" a="1"/>
  <c r="E581" i="24" s="1"/>
  <c r="C581" i="14" a="1"/>
  <c r="D580" i="14" a="1"/>
  <c r="AD580" i="17" l="1"/>
  <c r="AC580" i="17"/>
  <c r="AF580" i="17" a="1"/>
  <c r="E580" i="24" s="1"/>
  <c r="C580" i="14" a="1"/>
  <c r="D579" i="14" a="1"/>
  <c r="AD579" i="17" l="1"/>
  <c r="AC579" i="17"/>
  <c r="AF579" i="17" a="1"/>
  <c r="E579" i="24" s="1"/>
  <c r="C579" i="14" a="1"/>
  <c r="D578" i="14" a="1"/>
  <c r="AC578" i="17" l="1"/>
  <c r="AD578" i="17"/>
  <c r="AF578" i="17" a="1"/>
  <c r="E578" i="24" s="1"/>
  <c r="C578" i="14" a="1"/>
  <c r="D577" i="14" a="1"/>
  <c r="AC577" i="17" l="1"/>
  <c r="AD577" i="17"/>
  <c r="AF577" i="17" a="1"/>
  <c r="C577" i="14" a="1"/>
  <c r="D576" i="14" a="1"/>
  <c r="AD576" i="17" l="1"/>
  <c r="AC576" i="17"/>
  <c r="AF576" i="17" a="1"/>
  <c r="E576" i="24" s="1"/>
  <c r="C576" i="14" a="1"/>
  <c r="D575" i="14" a="1"/>
  <c r="AC575" i="17" l="1"/>
  <c r="AD575" i="17"/>
  <c r="AF575" i="17" a="1"/>
  <c r="E575" i="24" s="1"/>
  <c r="C575" i="14" a="1"/>
  <c r="D574" i="14" a="1"/>
  <c r="AC574" i="17" l="1"/>
  <c r="AD574" i="17"/>
  <c r="AF574" i="17" a="1"/>
  <c r="E574" i="24" s="1"/>
  <c r="C574" i="14" a="1"/>
  <c r="D573" i="14" a="1"/>
  <c r="AD573" i="17" l="1"/>
  <c r="AC573" i="17"/>
  <c r="AF573" i="17" a="1"/>
  <c r="E573" i="24" s="1"/>
  <c r="E577" i="24" s="1"/>
  <c r="C573" i="14" a="1"/>
  <c r="D572" i="14" a="1"/>
  <c r="AD572" i="17" l="1"/>
  <c r="AC572" i="17"/>
  <c r="AF572" i="17" a="1"/>
  <c r="E572" i="24" s="1"/>
  <c r="C572" i="14" a="1"/>
  <c r="D571" i="14" a="1"/>
  <c r="AC571" i="17" l="1"/>
  <c r="AD571" i="17"/>
  <c r="AF571" i="17" a="1"/>
  <c r="E571" i="24" s="1"/>
  <c r="C571" i="14" a="1"/>
  <c r="D570" i="14" a="1"/>
  <c r="AD570" i="17" l="1"/>
  <c r="AC570" i="17"/>
  <c r="AF570" i="17" a="1"/>
  <c r="E570" i="24" s="1"/>
  <c r="C570" i="14" a="1"/>
  <c r="D569" i="14" a="1"/>
  <c r="AC569" i="17" l="1"/>
  <c r="AD569" i="17"/>
  <c r="AF569" i="17" a="1"/>
  <c r="E569" i="24" s="1"/>
  <c r="C569" i="14" a="1"/>
  <c r="D568" i="14" a="1"/>
  <c r="AD568" i="17" l="1"/>
  <c r="AC568" i="17"/>
  <c r="AF568" i="17" a="1"/>
  <c r="E568" i="24" s="1"/>
  <c r="C568" i="14" a="1"/>
  <c r="D567" i="14" a="1"/>
  <c r="AD567" i="17" l="1"/>
  <c r="AC567" i="17"/>
  <c r="AF567" i="17" a="1"/>
  <c r="E567" i="24" s="1"/>
  <c r="C567" i="14" a="1"/>
  <c r="D566" i="14" a="1"/>
  <c r="AC566" i="17" l="1"/>
  <c r="AD566" i="17"/>
  <c r="AF566" i="17" a="1"/>
  <c r="E566" i="24" s="1"/>
  <c r="C566" i="14" a="1"/>
  <c r="D565" i="14" a="1"/>
  <c r="AC565" i="17" l="1"/>
  <c r="AD565" i="17"/>
  <c r="AF565" i="17" a="1"/>
  <c r="E565" i="24" s="1"/>
  <c r="C565" i="14" a="1"/>
  <c r="D564" i="14" a="1"/>
  <c r="AD564" i="17" l="1"/>
  <c r="AC564" i="17"/>
  <c r="AF564" i="17" a="1"/>
  <c r="E564" i="24" s="1"/>
  <c r="C564" i="14" a="1"/>
  <c r="D563" i="14" a="1"/>
  <c r="AC563" i="17" l="1"/>
  <c r="AD563" i="17"/>
  <c r="AF563" i="17" a="1"/>
  <c r="E563" i="24" s="1"/>
  <c r="C563" i="14" a="1"/>
  <c r="D562" i="14" a="1"/>
  <c r="AC562" i="17" l="1"/>
  <c r="AD562" i="17"/>
  <c r="AF562" i="17" a="1"/>
  <c r="E562" i="24" s="1"/>
  <c r="C562" i="14" a="1"/>
  <c r="D561" i="14" a="1"/>
  <c r="AD561" i="17" l="1"/>
  <c r="AC561" i="17"/>
  <c r="AF561" i="17" a="1"/>
  <c r="E561" i="24" s="1"/>
  <c r="C561" i="14" a="1"/>
  <c r="D560" i="14" a="1"/>
  <c r="AD560" i="17" l="1"/>
  <c r="AC560" i="17"/>
  <c r="AF560" i="17" a="1"/>
  <c r="E560" i="24" s="1"/>
  <c r="C560" i="14" a="1"/>
  <c r="D559" i="14" a="1"/>
  <c r="AC559" i="17" l="1"/>
  <c r="AD559" i="17"/>
  <c r="AF559" i="17" a="1"/>
  <c r="E559" i="24" s="1"/>
  <c r="C559" i="14" a="1"/>
  <c r="D558" i="14" a="1"/>
  <c r="AD558" i="17" l="1"/>
  <c r="AC558" i="17"/>
  <c r="AF558" i="17" a="1"/>
  <c r="E558" i="24" s="1"/>
  <c r="C558" i="14" a="1"/>
  <c r="D557" i="14" a="1"/>
  <c r="AD557" i="17" l="1"/>
  <c r="AC557" i="17"/>
  <c r="AF557" i="17" a="1"/>
  <c r="E557" i="24" s="1"/>
  <c r="C557" i="14" a="1"/>
  <c r="D556" i="14" a="1"/>
  <c r="AD556" i="17" l="1"/>
  <c r="AC556" i="17"/>
  <c r="AF556" i="17" a="1"/>
  <c r="E556" i="24" s="1"/>
  <c r="C556" i="14" a="1"/>
  <c r="D555" i="14" a="1"/>
  <c r="AD555" i="17" l="1"/>
  <c r="AC555" i="17"/>
  <c r="AF555" i="17" a="1"/>
  <c r="E555" i="24" s="1"/>
  <c r="C555" i="14" a="1"/>
  <c r="D554" i="14" a="1"/>
  <c r="AC554" i="17" l="1"/>
  <c r="AD554" i="17"/>
  <c r="AF554" i="17" a="1"/>
  <c r="E554" i="24" s="1"/>
  <c r="C554" i="14" a="1"/>
  <c r="D553" i="14" a="1"/>
  <c r="AD553" i="17" l="1"/>
  <c r="AC553" i="17"/>
  <c r="AF553" i="17" a="1"/>
  <c r="E553" i="24" s="1"/>
  <c r="C553" i="14" a="1"/>
  <c r="D552" i="14" a="1"/>
  <c r="AD552" i="17" l="1"/>
  <c r="AC552" i="17"/>
  <c r="AF552" i="17" a="1"/>
  <c r="E552" i="24" s="1"/>
  <c r="C552" i="14" a="1"/>
  <c r="D551" i="14" a="1"/>
  <c r="AC551" i="17" l="1"/>
  <c r="AD551" i="17"/>
  <c r="AF551" i="17" a="1"/>
  <c r="E551" i="24" s="1"/>
  <c r="C551" i="14" a="1"/>
  <c r="D550" i="14" a="1"/>
  <c r="AD550" i="17" l="1"/>
  <c r="AC550" i="17"/>
  <c r="AF550" i="17" a="1"/>
  <c r="E550" i="24" s="1"/>
  <c r="C550" i="14" a="1"/>
  <c r="D549" i="14" a="1"/>
  <c r="AC549" i="17" l="1"/>
  <c r="AD549" i="17"/>
  <c r="AF549" i="17" a="1"/>
  <c r="E549" i="24" s="1"/>
  <c r="C549" i="14" a="1"/>
  <c r="D548" i="14" a="1"/>
  <c r="AC548" i="17" l="1"/>
  <c r="AD548" i="17"/>
  <c r="AF548" i="17" a="1"/>
  <c r="E548" i="24" s="1"/>
  <c r="C548" i="14" a="1"/>
  <c r="D547" i="14" a="1"/>
  <c r="AD547" i="17" l="1"/>
  <c r="AC547" i="17"/>
  <c r="AF547" i="17" a="1"/>
  <c r="E547" i="24" s="1"/>
  <c r="C547" i="14" a="1"/>
  <c r="D546" i="14" a="1"/>
  <c r="AC546" i="17" l="1"/>
  <c r="AD546" i="17"/>
  <c r="AF546" i="17" a="1"/>
  <c r="E546" i="24" s="1"/>
  <c r="C546" i="14" a="1"/>
  <c r="D545" i="14" a="1"/>
  <c r="AD545" i="17" l="1"/>
  <c r="AC545" i="17"/>
  <c r="AF545" i="17" a="1"/>
  <c r="E545" i="24" s="1"/>
  <c r="C545" i="14" a="1"/>
  <c r="D544" i="14" a="1"/>
  <c r="AD544" i="17" l="1"/>
  <c r="AC544" i="17"/>
  <c r="AF544" i="17" a="1"/>
  <c r="E544" i="24" s="1"/>
  <c r="C544" i="14" a="1"/>
  <c r="D543" i="14" a="1"/>
  <c r="AC543" i="17" l="1"/>
  <c r="AD543" i="17"/>
  <c r="AF543" i="17" a="1"/>
  <c r="E543" i="24" s="1"/>
  <c r="C543" i="14" a="1"/>
  <c r="D542" i="14" a="1"/>
  <c r="AD542" i="17" l="1"/>
  <c r="AC542" i="17"/>
  <c r="AF542" i="17" a="1"/>
  <c r="E542" i="24" s="1"/>
  <c r="C542" i="14" a="1"/>
  <c r="D541" i="14" a="1"/>
  <c r="AD541" i="17" l="1"/>
  <c r="AC541" i="17"/>
  <c r="AF541" i="17" a="1"/>
  <c r="E541" i="24" s="1"/>
  <c r="C541" i="14" a="1"/>
  <c r="D478" i="14" a="1"/>
  <c r="AD478" i="17" l="1"/>
  <c r="AC478" i="17"/>
  <c r="AF478" i="17" a="1"/>
  <c r="E478" i="24" s="1"/>
  <c r="C478" i="14" a="1"/>
  <c r="D477" i="14" a="1"/>
  <c r="AC477" i="17" l="1"/>
  <c r="AD477" i="17"/>
  <c r="AF477" i="17" a="1"/>
  <c r="E477" i="24" s="1"/>
  <c r="C477" i="14" a="1"/>
  <c r="D475" i="14" a="1"/>
  <c r="AC475" i="17" l="1"/>
  <c r="AD475" i="17"/>
  <c r="AF475" i="17" a="1"/>
  <c r="E475" i="24" s="1"/>
  <c r="C475" i="14" a="1"/>
  <c r="D471" i="14" a="1"/>
  <c r="AC471" i="17" l="1"/>
  <c r="AD471" i="17"/>
  <c r="AF471" i="17" a="1"/>
  <c r="E471" i="24" s="1"/>
  <c r="C471" i="14" a="1"/>
  <c r="D467" i="14" a="1"/>
  <c r="AC467" i="17" l="1"/>
  <c r="AD467" i="17"/>
  <c r="AF467" i="17" a="1"/>
  <c r="E467" i="24" s="1"/>
  <c r="C467" i="14" a="1"/>
  <c r="D464" i="14" a="1"/>
  <c r="AD464" i="17" l="1"/>
  <c r="AC464" i="17"/>
  <c r="AF464" i="17" a="1"/>
  <c r="E464" i="24" s="1"/>
  <c r="C464" i="14" a="1"/>
  <c r="D463" i="14" a="1"/>
  <c r="AC463" i="17" l="1"/>
  <c r="AD463" i="17"/>
  <c r="AF463" i="17" a="1"/>
  <c r="E463" i="24" s="1"/>
  <c r="C463" i="14" a="1"/>
  <c r="D456" i="14" a="1"/>
  <c r="AC456" i="17" l="1"/>
  <c r="AD456" i="17"/>
  <c r="AF456" i="17" a="1"/>
  <c r="E456" i="24" s="1"/>
  <c r="C456" i="14" a="1"/>
  <c r="D452" i="14" a="1"/>
  <c r="AD452" i="17" l="1"/>
  <c r="AC452" i="17"/>
  <c r="AF452" i="17" a="1"/>
  <c r="E452" i="24" s="1"/>
  <c r="C452" i="14" a="1"/>
  <c r="D445" i="14" a="1"/>
  <c r="AC445" i="17" l="1"/>
  <c r="AD445" i="17"/>
  <c r="AF445" i="17" a="1"/>
  <c r="E445" i="24" s="1"/>
  <c r="C445" i="14" a="1"/>
  <c r="D442" i="14" a="1"/>
  <c r="AC442" i="17" l="1"/>
  <c r="AD442" i="17"/>
  <c r="AF442" i="17" a="1"/>
  <c r="E442" i="24" s="1"/>
  <c r="C442" i="14" a="1"/>
  <c r="D440" i="14" a="1"/>
  <c r="AD440" i="17" l="1"/>
  <c r="AC440" i="17"/>
  <c r="AF440" i="17" a="1"/>
  <c r="E440" i="24" s="1"/>
  <c r="C440" i="14" a="1"/>
  <c r="D435" i="14" a="1"/>
  <c r="AC435" i="17" l="1"/>
  <c r="AD435" i="17"/>
  <c r="AF435" i="17" a="1"/>
  <c r="E435" i="24" s="1"/>
  <c r="C435" i="14" a="1"/>
  <c r="D434" i="14" a="1"/>
  <c r="AC434" i="17" l="1"/>
  <c r="AD434" i="17"/>
  <c r="AF434" i="17" a="1"/>
  <c r="E434" i="24" s="1"/>
  <c r="C434" i="14" a="1"/>
  <c r="D432" i="14" a="1"/>
  <c r="AD432" i="17" l="1"/>
  <c r="AC432" i="17"/>
  <c r="AF432" i="17" a="1"/>
  <c r="E432" i="24" s="1"/>
  <c r="C432" i="14" a="1"/>
  <c r="D428" i="14" a="1"/>
  <c r="AD428" i="17" l="1"/>
  <c r="AC428" i="17"/>
  <c r="AF428" i="17" a="1"/>
  <c r="E428" i="24" s="1"/>
  <c r="C428" i="14" a="1"/>
  <c r="D426" i="14" a="1"/>
  <c r="AC426" i="17" l="1"/>
  <c r="AD426" i="17"/>
  <c r="AF426" i="17" a="1"/>
  <c r="E426" i="24" s="1"/>
  <c r="C426" i="14" a="1"/>
  <c r="D425" i="14" a="1"/>
  <c r="AD425" i="17" l="1"/>
  <c r="AC425" i="17"/>
  <c r="AF425" i="17" a="1"/>
  <c r="E425" i="24" s="1"/>
  <c r="C425" i="14" a="1"/>
  <c r="D424" i="14" a="1"/>
  <c r="AC424" i="17" l="1"/>
  <c r="AD424" i="17"/>
  <c r="AF424" i="17" a="1"/>
  <c r="E424" i="24" s="1"/>
  <c r="E497" i="24" s="1"/>
  <c r="C424" i="14" a="1"/>
  <c r="D420" i="14" a="1"/>
  <c r="AC420" i="17" l="1"/>
  <c r="AD420" i="17"/>
  <c r="AF420" i="17" a="1"/>
  <c r="E420" i="24" s="1"/>
  <c r="C420" i="14" a="1"/>
  <c r="D418" i="14" a="1"/>
  <c r="AD418" i="17" l="1"/>
  <c r="AC418" i="17"/>
  <c r="AF418" i="17" a="1"/>
  <c r="E418" i="24" s="1"/>
  <c r="C418" i="14" a="1"/>
  <c r="D410" i="14" a="1"/>
  <c r="AC410" i="17" l="1"/>
  <c r="AD410" i="17"/>
  <c r="AF410" i="17" a="1"/>
  <c r="E410" i="24" s="1"/>
  <c r="C410" i="14" a="1"/>
  <c r="D408" i="14" a="1"/>
  <c r="AC408" i="17" l="1"/>
  <c r="AD408" i="17"/>
  <c r="AF408" i="17" a="1"/>
  <c r="E408" i="24" s="1"/>
  <c r="C408" i="14" a="1"/>
  <c r="D405" i="14" a="1"/>
  <c r="AD405" i="17" l="1"/>
  <c r="AC405" i="17"/>
  <c r="C405" i="14" a="1"/>
  <c r="AF405" i="17" a="1"/>
  <c r="E405" i="24" s="1"/>
  <c r="D404" i="14" a="1"/>
  <c r="AC404" i="17" l="1"/>
  <c r="AD404" i="17"/>
  <c r="C404" i="14" a="1"/>
  <c r="AF404" i="17" a="1"/>
  <c r="E404" i="24" s="1"/>
  <c r="D403" i="14" a="1"/>
  <c r="AC403" i="17" l="1"/>
  <c r="AD403" i="17"/>
  <c r="AF403" i="17" a="1"/>
  <c r="E403" i="24" s="1"/>
  <c r="C403" i="14" a="1"/>
  <c r="D402" i="14" a="1"/>
  <c r="AC402" i="17" l="1"/>
  <c r="AD402" i="17"/>
  <c r="C402" i="14" a="1"/>
  <c r="AF402" i="17" a="1"/>
  <c r="E402" i="24" s="1"/>
  <c r="D401" i="14" a="1"/>
  <c r="AD401" i="17" l="1"/>
  <c r="AC401" i="17"/>
  <c r="C401" i="14" a="1"/>
  <c r="AF401" i="17" a="1"/>
  <c r="E401" i="24" s="1"/>
  <c r="D400" i="14" a="1"/>
  <c r="AC400" i="17" l="1"/>
  <c r="AD400" i="17"/>
  <c r="AF400" i="17" a="1"/>
  <c r="E400" i="24" s="1"/>
  <c r="C400" i="14" a="1"/>
  <c r="D399" i="14" a="1"/>
  <c r="AD399" i="17" l="1"/>
  <c r="AC399" i="17"/>
  <c r="AF399" i="17" a="1"/>
  <c r="E399" i="24" s="1"/>
  <c r="C399" i="14" a="1"/>
  <c r="D398" i="14" a="1"/>
  <c r="AC398" i="17" l="1"/>
  <c r="AD398" i="17"/>
  <c r="C398" i="14" a="1"/>
  <c r="AF398" i="17" a="1"/>
  <c r="E398" i="24" s="1"/>
  <c r="D397" i="14" a="1"/>
  <c r="AC397" i="17" l="1"/>
  <c r="AD397" i="17"/>
  <c r="AF397" i="17" a="1"/>
  <c r="E397" i="24" s="1"/>
  <c r="C397" i="14" a="1"/>
  <c r="D396" i="14" a="1"/>
  <c r="AD396" i="17" l="1"/>
  <c r="AC396" i="17"/>
  <c r="C396" i="14" a="1"/>
  <c r="AF396" i="17" a="1"/>
  <c r="E396" i="24" s="1"/>
  <c r="D395" i="14" a="1"/>
  <c r="AD395" i="17" l="1"/>
  <c r="AC395" i="17"/>
  <c r="AF395" i="17" a="1"/>
  <c r="E395" i="24" s="1"/>
  <c r="C395" i="14" a="1"/>
  <c r="D394" i="14" a="1"/>
  <c r="AD394" i="17" l="1"/>
  <c r="AC394" i="17"/>
  <c r="C394" i="14" a="1"/>
  <c r="AF394" i="17" a="1"/>
  <c r="E394" i="24" s="1"/>
  <c r="D393" i="14" a="1"/>
  <c r="AD393" i="17" l="1"/>
  <c r="AC393" i="17"/>
  <c r="C393" i="14" a="1"/>
  <c r="AF393" i="17" a="1"/>
  <c r="E393" i="24" s="1"/>
  <c r="D392" i="14" a="1"/>
  <c r="AD392" i="17" l="1"/>
  <c r="AC392" i="17"/>
  <c r="C392" i="14" a="1"/>
  <c r="AF392" i="17" a="1"/>
  <c r="E392" i="24" s="1"/>
  <c r="D391" i="14" a="1"/>
  <c r="AC391" i="17" l="1"/>
  <c r="AD391" i="17"/>
  <c r="C391" i="14" a="1"/>
  <c r="AF391" i="17" a="1"/>
  <c r="E391" i="24" s="1"/>
  <c r="D390" i="14" a="1"/>
  <c r="AD390" i="17" l="1"/>
  <c r="AC390" i="17"/>
  <c r="C390" i="14" a="1"/>
  <c r="AF390" i="17" a="1"/>
  <c r="E390" i="24" s="1"/>
  <c r="D389" i="14" a="1"/>
  <c r="AD389" i="17" l="1"/>
  <c r="AC389" i="17"/>
  <c r="AF389" i="17" a="1"/>
  <c r="E389" i="24" s="1"/>
  <c r="C389" i="14" a="1"/>
  <c r="D388" i="14" a="1"/>
  <c r="AC388" i="17" l="1"/>
  <c r="AD388" i="17"/>
  <c r="AF388" i="17" a="1"/>
  <c r="E388" i="24" s="1"/>
  <c r="C388" i="14" a="1"/>
  <c r="D387" i="14" a="1"/>
  <c r="AD387" i="17" l="1"/>
  <c r="AC387" i="17"/>
  <c r="AF387" i="17" a="1"/>
  <c r="E387" i="24" s="1"/>
  <c r="C387" i="14" a="1"/>
  <c r="D386" i="14" a="1"/>
  <c r="AC386" i="17" l="1"/>
  <c r="AD386" i="17"/>
  <c r="C386" i="14" a="1"/>
  <c r="AF386" i="17" a="1"/>
  <c r="E386" i="24" s="1"/>
  <c r="D385" i="14" a="1"/>
  <c r="AD385" i="17" l="1"/>
  <c r="AC385" i="17"/>
  <c r="AF385" i="17" a="1"/>
  <c r="E385" i="24" s="1"/>
  <c r="C385" i="14" a="1"/>
  <c r="D384" i="14" a="1"/>
  <c r="AD384" i="17" l="1"/>
  <c r="AC384" i="17"/>
  <c r="AF384" i="17" a="1"/>
  <c r="E384" i="24" s="1"/>
  <c r="C384" i="14" a="1"/>
  <c r="D383" i="14" a="1"/>
  <c r="AC383" i="17" l="1"/>
  <c r="AD383" i="17"/>
  <c r="AF383" i="17" a="1"/>
  <c r="E383" i="24" s="1"/>
  <c r="C383" i="14" a="1"/>
  <c r="D382" i="14" a="1"/>
  <c r="AC382" i="17" l="1"/>
  <c r="AD382" i="17"/>
  <c r="AF382" i="17" a="1"/>
  <c r="E382" i="24" s="1"/>
  <c r="C382" i="14" a="1"/>
  <c r="D381" i="14" a="1"/>
  <c r="AC381" i="17" l="1"/>
  <c r="AD381" i="17"/>
  <c r="AF381" i="17" a="1"/>
  <c r="E381" i="24" s="1"/>
  <c r="C381" i="14" a="1"/>
  <c r="D380" i="14" a="1"/>
  <c r="AD380" i="17" l="1"/>
  <c r="AC380" i="17"/>
  <c r="AF380" i="17" a="1"/>
  <c r="E380" i="24" s="1"/>
  <c r="C380" i="14" a="1"/>
  <c r="D379" i="14" a="1"/>
  <c r="AD379" i="17" l="1"/>
  <c r="AC379" i="17"/>
  <c r="AF379" i="17" a="1"/>
  <c r="E379" i="24" s="1"/>
  <c r="C379" i="14" a="1"/>
  <c r="D378" i="14" a="1"/>
  <c r="AC378" i="17" l="1"/>
  <c r="AD378" i="17"/>
  <c r="AF378" i="17" a="1"/>
  <c r="E378" i="24" s="1"/>
  <c r="C378" i="14" a="1"/>
  <c r="D377" i="14" a="1"/>
  <c r="AC377" i="17" l="1"/>
  <c r="AD377" i="17"/>
  <c r="AF377" i="17" a="1"/>
  <c r="E377" i="24" s="1"/>
  <c r="C377" i="14" a="1"/>
  <c r="D376" i="14" a="1"/>
  <c r="AC376" i="17" l="1"/>
  <c r="AD376" i="17"/>
  <c r="AF376" i="17" a="1"/>
  <c r="E376" i="24" s="1"/>
  <c r="C376" i="14" a="1"/>
  <c r="D375" i="14" a="1"/>
  <c r="AD375" i="17" l="1"/>
  <c r="AC375" i="17"/>
  <c r="C375" i="14" a="1"/>
  <c r="AF375" i="17" a="1"/>
  <c r="E375" i="24" s="1"/>
  <c r="D374" i="14" a="1"/>
  <c r="AC374" i="17" l="1"/>
  <c r="AD374" i="17"/>
  <c r="C374" i="14" a="1"/>
  <c r="AF374" i="17" a="1"/>
  <c r="E374" i="24" s="1"/>
  <c r="D373" i="14" a="1"/>
  <c r="AD373" i="17" l="1"/>
  <c r="AC373" i="17"/>
  <c r="AF373" i="17" a="1"/>
  <c r="E373" i="24" s="1"/>
  <c r="C373" i="14" a="1"/>
  <c r="D372" i="14" a="1"/>
  <c r="AD372" i="17" l="1"/>
  <c r="AC372" i="17"/>
  <c r="C372" i="14" a="1"/>
  <c r="AF372" i="17" a="1"/>
  <c r="E372" i="24" s="1"/>
  <c r="D371" i="14" a="1"/>
  <c r="AC371" i="17" l="1"/>
  <c r="AD371" i="17"/>
  <c r="C371" i="14" a="1"/>
  <c r="AF371" i="17" a="1"/>
  <c r="E371" i="24" s="1"/>
  <c r="D370" i="14" a="1"/>
  <c r="AC370" i="17" l="1"/>
  <c r="AD370" i="17"/>
  <c r="AF370" i="17" a="1"/>
  <c r="E370" i="24" s="1"/>
  <c r="C370" i="14" a="1"/>
  <c r="D369" i="14" a="1"/>
  <c r="AD369" i="17" l="1"/>
  <c r="AC369" i="17"/>
  <c r="AF369" i="17" a="1"/>
  <c r="E369" i="24" s="1"/>
  <c r="C369" i="14" a="1"/>
  <c r="D368" i="14" a="1"/>
  <c r="AD368" i="17" l="1"/>
  <c r="AC368" i="17"/>
  <c r="AF368" i="17" a="1"/>
  <c r="E368" i="24" s="1"/>
  <c r="C368" i="14" a="1"/>
  <c r="D367" i="14" a="1"/>
  <c r="AD367" i="17" l="1"/>
  <c r="AC367" i="17"/>
  <c r="AF367" i="17" a="1"/>
  <c r="E367" i="24" s="1"/>
  <c r="C367" i="14" a="1"/>
  <c r="D366" i="14" a="1"/>
  <c r="AC366" i="17" l="1"/>
  <c r="AD366" i="17"/>
  <c r="AF366" i="17" a="1"/>
  <c r="E366" i="24" s="1"/>
  <c r="C366" i="14" a="1"/>
  <c r="D365" i="14" a="1"/>
  <c r="AD365" i="17" l="1"/>
  <c r="AC365" i="17"/>
  <c r="AF365" i="17" a="1"/>
  <c r="E365" i="24" s="1"/>
  <c r="C365" i="14" a="1"/>
  <c r="D364" i="14" a="1"/>
  <c r="AD364" i="17" l="1"/>
  <c r="AC364" i="17"/>
  <c r="AF364" i="17" a="1"/>
  <c r="E364" i="24" s="1"/>
  <c r="C364" i="14" a="1"/>
  <c r="D363" i="14" a="1"/>
  <c r="AD363" i="17" l="1"/>
  <c r="AC363" i="17"/>
  <c r="AF363" i="17" a="1"/>
  <c r="E363" i="24" s="1"/>
  <c r="C363" i="14" a="1"/>
  <c r="D362" i="14" a="1"/>
  <c r="AC362" i="17" l="1"/>
  <c r="AD362" i="17"/>
  <c r="AF362" i="17" a="1"/>
  <c r="E362" i="24" s="1"/>
  <c r="C362" i="14" a="1"/>
  <c r="D361" i="14" a="1"/>
  <c r="AD361" i="17" l="1"/>
  <c r="AC361" i="17"/>
  <c r="AF361" i="17" a="1"/>
  <c r="E361" i="24" s="1"/>
  <c r="C361" i="14" a="1"/>
  <c r="D360" i="14" a="1"/>
  <c r="AC360" i="17" l="1"/>
  <c r="AD360" i="17"/>
  <c r="AF360" i="17" a="1"/>
  <c r="E360" i="24" s="1"/>
  <c r="C360" i="14" a="1"/>
  <c r="D359" i="14" a="1"/>
  <c r="AC359" i="17" l="1"/>
  <c r="AD359" i="17"/>
  <c r="AF359" i="17" a="1"/>
  <c r="E359" i="24" s="1"/>
  <c r="C359" i="14" a="1"/>
  <c r="D358" i="14" a="1"/>
  <c r="AD358" i="17" l="1"/>
  <c r="AC358" i="17"/>
  <c r="AF358" i="17" a="1"/>
  <c r="E358" i="24" s="1"/>
  <c r="C358" i="14" a="1"/>
  <c r="D357" i="14" a="1"/>
  <c r="AC357" i="17" l="1"/>
  <c r="AD357" i="17"/>
  <c r="AF357" i="17" a="1"/>
  <c r="E357" i="24" s="1"/>
  <c r="C357" i="14" a="1"/>
  <c r="D356" i="14" a="1"/>
  <c r="AC356" i="17" l="1"/>
  <c r="AD356" i="17"/>
  <c r="AF356" i="17" a="1"/>
  <c r="E356" i="24" s="1"/>
  <c r="C356" i="14" a="1"/>
  <c r="D355" i="14" a="1"/>
  <c r="AC355" i="17" l="1"/>
  <c r="AD355" i="17"/>
  <c r="AF355" i="17" a="1"/>
  <c r="E355" i="24" s="1"/>
  <c r="C355" i="14" a="1"/>
  <c r="D354" i="14" a="1"/>
  <c r="AC354" i="17" l="1"/>
  <c r="AD354" i="17"/>
  <c r="AF354" i="17" a="1"/>
  <c r="E354" i="24" s="1"/>
  <c r="C354" i="14" a="1"/>
  <c r="D353" i="14" a="1"/>
  <c r="AD353" i="17" l="1"/>
  <c r="AC353" i="17"/>
  <c r="AF353" i="17" a="1"/>
  <c r="E353" i="24" s="1"/>
  <c r="C353" i="14" a="1"/>
  <c r="D352" i="14" a="1"/>
  <c r="AD352" i="17" l="1"/>
  <c r="AC352" i="17"/>
  <c r="AF352" i="17" a="1"/>
  <c r="E352" i="24" s="1"/>
  <c r="C352" i="14" a="1"/>
  <c r="D351" i="14" a="1"/>
  <c r="AD351" i="17" l="1"/>
  <c r="AC351" i="17"/>
  <c r="AF351" i="17" a="1"/>
  <c r="E351" i="24" s="1"/>
  <c r="C351" i="14" a="1"/>
  <c r="D350" i="14" a="1"/>
  <c r="AC350" i="17" l="1"/>
  <c r="AD350" i="17"/>
  <c r="AF350" i="17" a="1"/>
  <c r="E350" i="24" s="1"/>
  <c r="C350" i="14" a="1"/>
  <c r="D349" i="14" a="1"/>
  <c r="AD349" i="17" l="1"/>
  <c r="AC349" i="17"/>
  <c r="AF349" i="17" a="1"/>
  <c r="E349" i="24" s="1"/>
  <c r="C349" i="14" a="1"/>
  <c r="D348" i="14" a="1"/>
  <c r="AD348" i="17" l="1"/>
  <c r="AC348" i="17"/>
  <c r="AF348" i="17" a="1"/>
  <c r="E348" i="24" s="1"/>
  <c r="C348" i="14" a="1"/>
  <c r="D347" i="14" a="1"/>
  <c r="AD347" i="17" l="1"/>
  <c r="AC347" i="17"/>
  <c r="AF347" i="17" a="1"/>
  <c r="E347" i="24" s="1"/>
  <c r="C347" i="14" a="1"/>
  <c r="D346" i="14" a="1"/>
  <c r="AD346" i="17" l="1"/>
  <c r="AC346" i="17"/>
  <c r="AF346" i="17" a="1"/>
  <c r="E346" i="24" s="1"/>
  <c r="C346" i="14" a="1"/>
  <c r="D345" i="14" a="1"/>
  <c r="AD345" i="17" l="1"/>
  <c r="AC345" i="17"/>
  <c r="AF345" i="17" a="1"/>
  <c r="E345" i="24" s="1"/>
  <c r="C345" i="14" a="1"/>
  <c r="D344" i="14" a="1"/>
  <c r="AD344" i="17" l="1"/>
  <c r="AC344" i="17"/>
  <c r="AF344" i="17" a="1"/>
  <c r="E344" i="24" s="1"/>
  <c r="C344" i="14" a="1"/>
  <c r="D343" i="14" a="1"/>
  <c r="AD343" i="17" l="1"/>
  <c r="AC343" i="17"/>
  <c r="AF343" i="17" a="1"/>
  <c r="E343" i="24" s="1"/>
  <c r="C343" i="14" a="1"/>
  <c r="D342" i="14" a="1"/>
  <c r="AC342" i="17" l="1"/>
  <c r="AD342" i="17"/>
  <c r="AF342" i="17" a="1"/>
  <c r="E342" i="24" s="1"/>
  <c r="C342" i="14" a="1"/>
  <c r="D341" i="14" a="1"/>
  <c r="AC341" i="17" l="1"/>
  <c r="AD341" i="17"/>
  <c r="AF341" i="17" a="1"/>
  <c r="E341" i="24" s="1"/>
  <c r="C341" i="14" a="1"/>
  <c r="D340" i="14" a="1"/>
  <c r="AD340" i="17" l="1"/>
  <c r="AC340" i="17"/>
  <c r="AF340" i="17" a="1"/>
  <c r="E340" i="24" s="1"/>
  <c r="C340" i="14" a="1"/>
  <c r="D339" i="14" a="1"/>
  <c r="AC339" i="17" l="1"/>
  <c r="AD339" i="17"/>
  <c r="AF339" i="17" a="1"/>
  <c r="E339" i="24" s="1"/>
  <c r="C339" i="14" a="1"/>
  <c r="D338" i="14" a="1"/>
  <c r="AD338" i="17" l="1"/>
  <c r="AC338" i="17"/>
  <c r="AF338" i="17" a="1"/>
  <c r="E338" i="24" s="1"/>
  <c r="C338" i="14" a="1"/>
  <c r="D337" i="14" a="1"/>
  <c r="AC337" i="17" l="1"/>
  <c r="AD337" i="17"/>
  <c r="AF337" i="17" a="1"/>
  <c r="E337" i="24" s="1"/>
  <c r="C337" i="14" a="1"/>
  <c r="D336" i="14" a="1"/>
  <c r="AC336" i="17" l="1"/>
  <c r="AD336" i="17"/>
  <c r="AF336" i="17" a="1"/>
  <c r="E336" i="24" s="1"/>
  <c r="C336" i="14" a="1"/>
  <c r="D335" i="14" a="1"/>
  <c r="AD335" i="17" l="1"/>
  <c r="AC335" i="17"/>
  <c r="AF335" i="17" a="1"/>
  <c r="E335" i="24" s="1"/>
  <c r="C335" i="14" a="1"/>
  <c r="D334" i="14" a="1"/>
  <c r="AC334" i="17" l="1"/>
  <c r="AD334" i="17"/>
  <c r="AF334" i="17" a="1"/>
  <c r="E334" i="24" s="1"/>
  <c r="C334" i="14" a="1"/>
  <c r="D333" i="14" a="1"/>
  <c r="AC333" i="17" l="1"/>
  <c r="AD333" i="17"/>
  <c r="AF333" i="17" a="1"/>
  <c r="E333" i="24" s="1"/>
  <c r="C333" i="14" a="1"/>
  <c r="D332" i="14" a="1"/>
  <c r="AD332" i="17" l="1"/>
  <c r="AC332" i="17"/>
  <c r="AF332" i="17" a="1"/>
  <c r="E332" i="24" s="1"/>
  <c r="C332" i="14" a="1"/>
  <c r="D331" i="14" a="1"/>
  <c r="AC331" i="17" l="1"/>
  <c r="AD331" i="17"/>
  <c r="AF331" i="17" a="1"/>
  <c r="E331" i="24" s="1"/>
  <c r="C331" i="14" a="1"/>
  <c r="D330" i="14" a="1"/>
  <c r="AD330" i="17" l="1"/>
  <c r="AC330" i="17"/>
  <c r="AF330" i="17" a="1"/>
  <c r="E330" i="24" s="1"/>
  <c r="C330" i="14" a="1"/>
  <c r="D329" i="14" a="1"/>
  <c r="AD329" i="17" l="1"/>
  <c r="AC329" i="17"/>
  <c r="AF329" i="17" a="1"/>
  <c r="E329" i="24" s="1"/>
  <c r="C329" i="14" a="1"/>
  <c r="D328" i="14" a="1"/>
  <c r="AD328" i="17" l="1"/>
  <c r="AC328" i="17"/>
  <c r="AF328" i="17" a="1"/>
  <c r="E328" i="24" s="1"/>
  <c r="C328" i="14" a="1"/>
  <c r="D327" i="14" a="1"/>
  <c r="AD327" i="17" l="1"/>
  <c r="AC327" i="17"/>
  <c r="AF327" i="17" a="1"/>
  <c r="E327" i="24" s="1"/>
  <c r="C327" i="14" a="1"/>
  <c r="D326" i="14" a="1"/>
  <c r="AD326" i="17" l="1"/>
  <c r="AC326" i="17"/>
  <c r="AF326" i="17" a="1"/>
  <c r="E326" i="24" s="1"/>
  <c r="C326" i="14" a="1"/>
  <c r="D325" i="14" a="1"/>
  <c r="AD325" i="17" l="1"/>
  <c r="AC325" i="17"/>
  <c r="AF325" i="17" a="1"/>
  <c r="E325" i="24" s="1"/>
  <c r="C325" i="14" a="1"/>
  <c r="D324" i="14" a="1"/>
  <c r="AC324" i="17" l="1"/>
  <c r="AD324" i="17"/>
  <c r="AF324" i="17" a="1"/>
  <c r="E324" i="24" s="1"/>
  <c r="C324" i="14" a="1"/>
  <c r="D323" i="14" a="1"/>
  <c r="AD323" i="17" l="1"/>
  <c r="AC323" i="17"/>
  <c r="AF323" i="17" a="1"/>
  <c r="E323" i="24" s="1"/>
  <c r="C323" i="14" a="1"/>
  <c r="D322" i="14" a="1"/>
  <c r="AD322" i="17" l="1"/>
  <c r="AC322" i="17"/>
  <c r="AF322" i="17" a="1"/>
  <c r="E322" i="24" s="1"/>
  <c r="C322" i="14" a="1"/>
  <c r="D321" i="14" a="1"/>
  <c r="AD321" i="17" l="1"/>
  <c r="AC321" i="17"/>
  <c r="AF321" i="17" a="1"/>
  <c r="E321" i="24" s="1"/>
  <c r="C321" i="14" a="1"/>
  <c r="D320" i="14" a="1"/>
  <c r="AC320" i="17" l="1"/>
  <c r="AD320" i="17"/>
  <c r="AF320" i="17" a="1"/>
  <c r="E320" i="24" s="1"/>
  <c r="C320" i="14" a="1"/>
  <c r="D319" i="14" a="1"/>
  <c r="AD319" i="17" l="1"/>
  <c r="AC319" i="17"/>
  <c r="AF319" i="17" a="1"/>
  <c r="E319" i="24" s="1"/>
  <c r="C319" i="14" a="1"/>
  <c r="D318" i="14" a="1"/>
  <c r="AC318" i="17" l="1"/>
  <c r="AD318" i="17"/>
  <c r="AF318" i="17" a="1"/>
  <c r="E318" i="24" s="1"/>
  <c r="C318" i="14" a="1"/>
  <c r="D317" i="14" a="1"/>
  <c r="AD317" i="17" l="1"/>
  <c r="AC317" i="17"/>
  <c r="AF317" i="17" a="1"/>
  <c r="E317" i="24" s="1"/>
  <c r="C317" i="14" a="1"/>
  <c r="D316" i="14" a="1"/>
  <c r="AC316" i="17" l="1"/>
  <c r="AD316" i="17"/>
  <c r="AF316" i="17" a="1"/>
  <c r="E316" i="24" s="1"/>
  <c r="C316" i="14" a="1"/>
  <c r="D315" i="14" a="1"/>
  <c r="AC315" i="17" l="1"/>
  <c r="AD315" i="17"/>
  <c r="AF315" i="17" a="1"/>
  <c r="E315" i="24" s="1"/>
  <c r="C315" i="14" a="1"/>
  <c r="D314" i="14" a="1"/>
  <c r="AD314" i="17" l="1"/>
  <c r="AC314" i="17"/>
  <c r="AF314" i="17" a="1"/>
  <c r="E314" i="24" s="1"/>
  <c r="C314" i="14" a="1"/>
  <c r="D313" i="14" a="1"/>
  <c r="AC313" i="17" l="1"/>
  <c r="AD313" i="17"/>
  <c r="AF313" i="17" a="1"/>
  <c r="E313" i="24" s="1"/>
  <c r="C313" i="14" a="1"/>
  <c r="D312" i="14" a="1"/>
  <c r="AC312" i="17" l="1"/>
  <c r="AD312" i="17"/>
  <c r="AF312" i="17" a="1"/>
  <c r="E312" i="24" s="1"/>
  <c r="C312" i="14" a="1"/>
  <c r="D311" i="14" a="1"/>
  <c r="AC311" i="17" l="1"/>
  <c r="AD311" i="17"/>
  <c r="AF311" i="17" a="1"/>
  <c r="E311" i="24" s="1"/>
  <c r="C311" i="14" a="1"/>
  <c r="D310" i="14" a="1"/>
  <c r="AD310" i="17" l="1"/>
  <c r="AC310" i="17"/>
  <c r="AF310" i="17" a="1"/>
  <c r="E310" i="24" s="1"/>
  <c r="C310" i="14" a="1"/>
  <c r="D309" i="14" a="1"/>
  <c r="AC309" i="17" l="1"/>
  <c r="AD309" i="17"/>
  <c r="AF309" i="17" a="1"/>
  <c r="E309" i="24" s="1"/>
  <c r="C309" i="14" a="1"/>
  <c r="D308" i="14" a="1"/>
  <c r="AD308" i="17" l="1"/>
  <c r="AC308" i="17"/>
  <c r="AF308" i="17" a="1"/>
  <c r="E308" i="24" s="1"/>
  <c r="C308" i="14" a="1"/>
  <c r="D307" i="14" a="1"/>
  <c r="AD307" i="17" l="1"/>
  <c r="AC307" i="17"/>
  <c r="AF307" i="17" a="1"/>
  <c r="E307" i="24" s="1"/>
  <c r="C307" i="14" a="1"/>
  <c r="D306" i="14" a="1"/>
  <c r="AD306" i="17" l="1"/>
  <c r="AC306" i="17"/>
  <c r="AF306" i="17" a="1"/>
  <c r="E306" i="24" s="1"/>
  <c r="C306" i="14" a="1"/>
  <c r="D305" i="14" a="1"/>
  <c r="AC305" i="17" l="1"/>
  <c r="AD305" i="17"/>
  <c r="AF305" i="17" a="1"/>
  <c r="E305" i="24" s="1"/>
  <c r="C305" i="14" a="1"/>
  <c r="D304" i="14" a="1"/>
  <c r="AD304" i="17" l="1"/>
  <c r="AC304" i="17"/>
  <c r="AF304" i="17" a="1"/>
  <c r="E304" i="24" s="1"/>
  <c r="C304" i="14" a="1"/>
  <c r="D303" i="14" a="1"/>
  <c r="AD303" i="17" l="1"/>
  <c r="AC303" i="17"/>
  <c r="AF303" i="17" a="1"/>
  <c r="E303" i="24" s="1"/>
  <c r="C303" i="14" a="1"/>
  <c r="D302" i="14" a="1"/>
  <c r="AD302" i="17" l="1"/>
  <c r="AC302" i="17"/>
  <c r="AF302" i="17" a="1"/>
  <c r="E302" i="24" s="1"/>
  <c r="C302" i="14" a="1"/>
  <c r="D301" i="14" a="1"/>
  <c r="AD301" i="17" l="1"/>
  <c r="AC301" i="17"/>
  <c r="AF301" i="17" a="1"/>
  <c r="E301" i="24" s="1"/>
  <c r="C301" i="14" a="1"/>
  <c r="D300" i="14" a="1"/>
  <c r="AC300" i="17" l="1"/>
  <c r="AD300" i="17"/>
  <c r="AF300" i="17" a="1"/>
  <c r="E300" i="24" s="1"/>
  <c r="C300" i="14" a="1"/>
  <c r="D299" i="14" a="1"/>
  <c r="AC299" i="17" l="1"/>
  <c r="AD299" i="17"/>
  <c r="AF299" i="17" a="1"/>
  <c r="E299" i="24" s="1"/>
  <c r="C299" i="14" a="1"/>
  <c r="D298" i="14" a="1"/>
  <c r="AD298" i="17" l="1"/>
  <c r="AC298" i="17"/>
  <c r="AF298" i="17" a="1"/>
  <c r="E298" i="24" s="1"/>
  <c r="C298" i="14" a="1"/>
  <c r="D297" i="14" a="1"/>
  <c r="AC297" i="17" l="1"/>
  <c r="AD297" i="17"/>
  <c r="AF297" i="17" a="1"/>
  <c r="E297" i="24" s="1"/>
  <c r="C297" i="14" a="1"/>
  <c r="D296" i="14" a="1"/>
  <c r="AD296" i="17" l="1"/>
  <c r="AC296" i="17"/>
  <c r="AF296" i="17" a="1"/>
  <c r="E296" i="24" s="1"/>
  <c r="C296" i="14" a="1"/>
  <c r="D295" i="14" a="1"/>
  <c r="AD295" i="17" l="1"/>
  <c r="AC295" i="17"/>
  <c r="AF295" i="17" a="1"/>
  <c r="E295" i="24" s="1"/>
  <c r="C295" i="14" a="1"/>
  <c r="D294" i="14" a="1"/>
  <c r="AD294" i="17" l="1"/>
  <c r="AC294" i="17"/>
  <c r="AF294" i="17" a="1"/>
  <c r="E294" i="24" s="1"/>
  <c r="C294" i="14" a="1"/>
  <c r="D293" i="14" a="1"/>
  <c r="AC293" i="17" l="1"/>
  <c r="AD293" i="17"/>
  <c r="AF293" i="17" a="1"/>
  <c r="E293" i="24" s="1"/>
  <c r="C293" i="14" a="1"/>
  <c r="D292" i="14" a="1"/>
  <c r="AD292" i="17" l="1"/>
  <c r="AC292" i="17"/>
  <c r="AF292" i="17" a="1"/>
  <c r="E292" i="24" s="1"/>
  <c r="C292" i="14" a="1"/>
  <c r="D291" i="14" a="1"/>
  <c r="AC291" i="17" l="1"/>
  <c r="AD291" i="17"/>
  <c r="AF291" i="17" a="1"/>
  <c r="E291" i="24" s="1"/>
  <c r="C291" i="14" a="1"/>
  <c r="D290" i="14" a="1"/>
  <c r="AC290" i="17" l="1"/>
  <c r="AD290" i="17"/>
  <c r="AF290" i="17" a="1"/>
  <c r="E290" i="24" s="1"/>
  <c r="C290" i="14" a="1"/>
  <c r="D289" i="14" a="1"/>
  <c r="AC289" i="17" l="1"/>
  <c r="AD289" i="17"/>
  <c r="AF289" i="17" a="1"/>
  <c r="E289" i="24" s="1"/>
  <c r="C289" i="14" a="1"/>
  <c r="D288" i="14" a="1"/>
  <c r="AC288" i="17" l="1"/>
  <c r="AD288" i="17"/>
  <c r="AF288" i="17" a="1"/>
  <c r="E288" i="24" s="1"/>
  <c r="C288" i="14" a="1"/>
  <c r="D287" i="14" a="1"/>
  <c r="AC287" i="17" l="1"/>
  <c r="AD287" i="17"/>
  <c r="AF287" i="17" a="1"/>
  <c r="E287" i="24" s="1"/>
  <c r="C287" i="14" a="1"/>
  <c r="D286" i="14" a="1"/>
  <c r="AC286" i="17" l="1"/>
  <c r="AD286" i="17"/>
  <c r="AF286" i="17" a="1"/>
  <c r="E286" i="24" s="1"/>
  <c r="C286" i="14" a="1"/>
  <c r="D285" i="14" a="1"/>
  <c r="AC285" i="17" l="1"/>
  <c r="AD285" i="17"/>
  <c r="AF285" i="17" a="1"/>
  <c r="E285" i="24" s="1"/>
  <c r="C285" i="14" a="1"/>
  <c r="D284" i="14" a="1"/>
  <c r="AC284" i="17" l="1"/>
  <c r="AD284" i="17"/>
  <c r="AF284" i="17" a="1"/>
  <c r="E284" i="24" s="1"/>
  <c r="C284" i="14" a="1"/>
  <c r="D283" i="14" a="1"/>
  <c r="AC283" i="17" l="1"/>
  <c r="AD283" i="17"/>
  <c r="AF283" i="17" a="1"/>
  <c r="E283" i="24" s="1"/>
  <c r="C283" i="14" a="1"/>
  <c r="D282" i="14" a="1"/>
  <c r="AC282" i="17" l="1"/>
  <c r="AD282" i="17"/>
  <c r="AF282" i="17" a="1"/>
  <c r="E282" i="24" s="1"/>
  <c r="C282" i="14" a="1"/>
  <c r="D281" i="14" a="1"/>
  <c r="AC281" i="17" l="1"/>
  <c r="AD281" i="17"/>
  <c r="AF281" i="17" a="1"/>
  <c r="E281" i="24" s="1"/>
  <c r="C281" i="14" a="1"/>
  <c r="D280" i="14" a="1"/>
  <c r="AC280" i="17" l="1"/>
  <c r="AD280" i="17"/>
  <c r="AF280" i="17" a="1"/>
  <c r="E280" i="24" s="1"/>
  <c r="C280" i="14" a="1"/>
  <c r="D279" i="14" a="1"/>
  <c r="AC279" i="17" l="1"/>
  <c r="AD279" i="17"/>
  <c r="AF279" i="17" a="1"/>
  <c r="E279" i="24" s="1"/>
  <c r="C279" i="14" a="1"/>
  <c r="D278" i="14" a="1"/>
  <c r="AC278" i="17" l="1"/>
  <c r="AD278" i="17"/>
  <c r="AF278" i="17" a="1"/>
  <c r="E278" i="24" s="1"/>
  <c r="C278" i="14" a="1"/>
  <c r="D277" i="14" a="1"/>
  <c r="AC277" i="17" l="1"/>
  <c r="AD277" i="17"/>
  <c r="AF277" i="17" a="1"/>
  <c r="E277" i="24" s="1"/>
  <c r="C277" i="14" a="1"/>
  <c r="D276" i="14" a="1"/>
  <c r="AC276" i="17" l="1"/>
  <c r="AD276" i="17"/>
  <c r="AF276" i="17" a="1"/>
  <c r="E276" i="24" s="1"/>
  <c r="C276" i="14" a="1"/>
  <c r="D275" i="14" a="1"/>
  <c r="AC275" i="17" l="1"/>
  <c r="AD275" i="17"/>
  <c r="AF275" i="17" a="1"/>
  <c r="E275" i="24" s="1"/>
  <c r="C275" i="14" a="1"/>
  <c r="D274" i="14" a="1"/>
  <c r="AC274" i="17" l="1"/>
  <c r="AD274" i="17"/>
  <c r="AF274" i="17" a="1"/>
  <c r="E274" i="24" s="1"/>
  <c r="C274" i="14" a="1"/>
  <c r="D273" i="14" a="1"/>
  <c r="AC273" i="17" l="1"/>
  <c r="AD273" i="17"/>
  <c r="AF273" i="17" a="1"/>
  <c r="E273" i="24" s="1"/>
  <c r="C273" i="14" a="1"/>
  <c r="D272" i="14" a="1"/>
  <c r="AC272" i="17" l="1"/>
  <c r="AD272" i="17"/>
  <c r="AF272" i="17" a="1"/>
  <c r="E272" i="24" s="1"/>
  <c r="C272" i="14" a="1"/>
  <c r="D271" i="14" a="1"/>
  <c r="AC271" i="17" l="1"/>
  <c r="AD271" i="17"/>
  <c r="AF271" i="17" a="1"/>
  <c r="E271" i="24" s="1"/>
  <c r="C271" i="14" a="1"/>
  <c r="D270" i="14" a="1"/>
  <c r="AC270" i="17" l="1"/>
  <c r="AD270" i="17"/>
  <c r="AF270" i="17" a="1"/>
  <c r="E270" i="24" s="1"/>
  <c r="C270" i="14" a="1"/>
  <c r="D269" i="14" a="1"/>
  <c r="AC269" i="17" l="1"/>
  <c r="AD269" i="17"/>
  <c r="AF269" i="17" a="1"/>
  <c r="E269" i="24" s="1"/>
  <c r="C269" i="14" a="1"/>
  <c r="D268" i="14" a="1"/>
  <c r="AC268" i="17" l="1"/>
  <c r="AD268" i="17"/>
  <c r="AF268" i="17" a="1"/>
  <c r="E268" i="24" s="1"/>
  <c r="C268" i="14" a="1"/>
  <c r="D267" i="14" a="1"/>
  <c r="AC267" i="17" l="1"/>
  <c r="AD267" i="17"/>
  <c r="AF267" i="17" a="1"/>
  <c r="E267" i="24" s="1"/>
  <c r="C267" i="14" a="1"/>
  <c r="D266" i="14" a="1"/>
  <c r="AC266" i="17" l="1"/>
  <c r="AD266" i="17"/>
  <c r="AF266" i="17" a="1"/>
  <c r="E266" i="24" s="1"/>
  <c r="C266" i="14" a="1"/>
  <c r="D265" i="14" a="1"/>
  <c r="AC265" i="17" l="1"/>
  <c r="AD265" i="17"/>
  <c r="AF265" i="17" a="1"/>
  <c r="E265" i="24" s="1"/>
  <c r="C265" i="14" a="1"/>
  <c r="D264" i="14" a="1"/>
  <c r="AC264" i="17" l="1"/>
  <c r="AD264" i="17"/>
  <c r="AF264" i="17" a="1"/>
  <c r="E264" i="24" s="1"/>
  <c r="C264" i="14" a="1"/>
  <c r="D263" i="14" a="1"/>
  <c r="AC263" i="17" l="1"/>
  <c r="AD263" i="17"/>
  <c r="AF263" i="17" a="1"/>
  <c r="E263" i="24" s="1"/>
  <c r="C263" i="14" a="1"/>
  <c r="D262" i="14" a="1"/>
  <c r="AC262" i="17" l="1"/>
  <c r="AD262" i="17"/>
  <c r="AF262" i="17" a="1"/>
  <c r="E262" i="24" s="1"/>
  <c r="C262" i="14" a="1"/>
  <c r="D261" i="14" a="1"/>
  <c r="AC261" i="17" l="1"/>
  <c r="AD261" i="17"/>
  <c r="AF261" i="17" a="1"/>
  <c r="E261" i="24" s="1"/>
  <c r="C261" i="14" a="1"/>
  <c r="D260" i="14" a="1"/>
  <c r="AC260" i="17" l="1"/>
  <c r="AD260" i="17"/>
  <c r="AF260" i="17" a="1"/>
  <c r="E260" i="24" s="1"/>
  <c r="C260" i="14" a="1"/>
  <c r="D259" i="14" a="1"/>
  <c r="AC259" i="17" l="1"/>
  <c r="AD259" i="17"/>
  <c r="AF259" i="17" a="1"/>
  <c r="E259" i="24" s="1"/>
  <c r="C259" i="14" a="1"/>
  <c r="D258" i="14" a="1"/>
  <c r="AC258" i="17" l="1"/>
  <c r="AD258" i="17"/>
  <c r="AF258" i="17" a="1"/>
  <c r="E258" i="24" s="1"/>
  <c r="C258" i="14" a="1"/>
  <c r="D257" i="14" a="1"/>
  <c r="AC257" i="17" l="1"/>
  <c r="AD257" i="17"/>
  <c r="AF257" i="17" a="1"/>
  <c r="E257" i="24" s="1"/>
  <c r="C257" i="14" a="1"/>
  <c r="D256" i="14" a="1"/>
  <c r="AC256" i="17" l="1"/>
  <c r="AD256" i="17"/>
  <c r="AF256" i="17" a="1"/>
  <c r="E256" i="24" s="1"/>
  <c r="C256" i="14" a="1"/>
  <c r="D255" i="14" a="1"/>
  <c r="AC255" i="17" l="1"/>
  <c r="AD255" i="17"/>
  <c r="AF255" i="17" a="1"/>
  <c r="E255" i="24" s="1"/>
  <c r="C255" i="14" a="1"/>
  <c r="D254" i="14" a="1"/>
  <c r="AC254" i="17" l="1"/>
  <c r="AD254" i="17"/>
  <c r="AF254" i="17" a="1"/>
  <c r="E254" i="24" s="1"/>
  <c r="C254" i="14" a="1"/>
  <c r="D253" i="14" a="1"/>
  <c r="AC253" i="17" l="1"/>
  <c r="AD253" i="17"/>
  <c r="AF253" i="17" a="1"/>
  <c r="E253" i="24" s="1"/>
  <c r="C253" i="14" a="1"/>
  <c r="D252" i="14" a="1"/>
  <c r="AC252" i="17" l="1"/>
  <c r="AD252" i="17"/>
  <c r="AF252" i="17" a="1"/>
  <c r="E252" i="24" s="1"/>
  <c r="C252" i="14" a="1"/>
  <c r="D251" i="14" a="1"/>
  <c r="AC251" i="17" l="1"/>
  <c r="AD251" i="17"/>
  <c r="AF251" i="17" a="1"/>
  <c r="E251" i="24" s="1"/>
  <c r="C251" i="14" a="1"/>
  <c r="D250" i="14" a="1"/>
  <c r="AC250" i="17" l="1"/>
  <c r="AD250" i="17"/>
  <c r="AF250" i="17" a="1"/>
  <c r="E250" i="24" s="1"/>
  <c r="C250" i="14" a="1"/>
  <c r="D249" i="14" a="1"/>
  <c r="AC249" i="17" l="1"/>
  <c r="AD249" i="17"/>
  <c r="AF249" i="17" a="1"/>
  <c r="E249" i="24" s="1"/>
  <c r="C249" i="14" a="1"/>
  <c r="D248" i="14" a="1"/>
  <c r="AC248" i="17" l="1"/>
  <c r="AD248" i="17"/>
  <c r="AF248" i="17" a="1"/>
  <c r="E248" i="24" s="1"/>
  <c r="C248" i="14" a="1"/>
  <c r="D247" i="14" a="1"/>
  <c r="AC247" i="17" l="1"/>
  <c r="AD247" i="17"/>
  <c r="AF247" i="17" a="1"/>
  <c r="E247" i="24" s="1"/>
  <c r="C247" i="14" a="1"/>
  <c r="D246" i="14" a="1"/>
  <c r="AC246" i="17" l="1"/>
  <c r="AD246" i="17"/>
  <c r="AF246" i="17" a="1"/>
  <c r="E246" i="24" s="1"/>
  <c r="C246" i="14" a="1"/>
  <c r="D245" i="14" a="1"/>
  <c r="AC245" i="17" l="1"/>
  <c r="AD245" i="17"/>
  <c r="AF245" i="17" a="1"/>
  <c r="E245" i="24" s="1"/>
  <c r="C245" i="14" a="1"/>
  <c r="D244" i="14" a="1"/>
  <c r="AC244" i="17" l="1"/>
  <c r="AD244" i="17"/>
  <c r="AF244" i="17" a="1"/>
  <c r="E244" i="24" s="1"/>
  <c r="C244" i="14" a="1"/>
  <c r="D243" i="14" a="1"/>
  <c r="AC243" i="17" l="1"/>
  <c r="AD243" i="17"/>
  <c r="AF243" i="17" a="1"/>
  <c r="E243" i="24" s="1"/>
  <c r="C243" i="14" a="1"/>
  <c r="D242" i="14" a="1"/>
  <c r="AC242" i="17" l="1"/>
  <c r="AD242" i="17"/>
  <c r="AF242" i="17" a="1"/>
  <c r="E242" i="24" s="1"/>
  <c r="C242" i="14" a="1"/>
  <c r="D241" i="14" a="1"/>
  <c r="AC241" i="17" l="1"/>
  <c r="AD241" i="17"/>
  <c r="AF241" i="17" a="1"/>
  <c r="E241" i="24" s="1"/>
  <c r="C241" i="14" a="1"/>
  <c r="D240" i="14" a="1"/>
  <c r="AC240" i="17" l="1"/>
  <c r="AD240" i="17"/>
  <c r="AF240" i="17" a="1"/>
  <c r="E240" i="24" s="1"/>
  <c r="C240" i="14" a="1"/>
  <c r="D239" i="14" a="1"/>
  <c r="AC239" i="17" l="1"/>
  <c r="AD239" i="17"/>
  <c r="AF239" i="17" a="1"/>
  <c r="E239" i="24" s="1"/>
  <c r="C239" i="14" a="1"/>
  <c r="D238" i="14" a="1"/>
  <c r="AC238" i="17" l="1"/>
  <c r="AD238" i="17"/>
  <c r="AF238" i="17" a="1"/>
  <c r="E238" i="24" s="1"/>
  <c r="C238" i="14" a="1"/>
  <c r="D237" i="14" a="1"/>
  <c r="AC237" i="17" l="1"/>
  <c r="AD237" i="17"/>
  <c r="AF237" i="17" a="1"/>
  <c r="E237" i="24" s="1"/>
  <c r="C237" i="14" a="1"/>
  <c r="D236" i="14" a="1"/>
  <c r="AC236" i="17" l="1"/>
  <c r="AD236" i="17"/>
  <c r="AF236" i="17" a="1"/>
  <c r="E236" i="24" s="1"/>
  <c r="C236" i="14" a="1"/>
  <c r="D235" i="14" a="1"/>
  <c r="AC235" i="17" l="1"/>
  <c r="AD235" i="17"/>
  <c r="AF235" i="17" a="1"/>
  <c r="E235" i="24" s="1"/>
  <c r="C235" i="14" a="1"/>
  <c r="D234" i="14" a="1"/>
  <c r="AC234" i="17" l="1"/>
  <c r="AD234" i="17"/>
  <c r="AF234" i="17" a="1"/>
  <c r="E234" i="24" s="1"/>
  <c r="C234" i="14" a="1"/>
  <c r="D233" i="14" a="1"/>
  <c r="AC233" i="17" l="1"/>
  <c r="AD233" i="17"/>
  <c r="AF233" i="17" a="1"/>
  <c r="E233" i="24" s="1"/>
  <c r="C233" i="14" a="1"/>
  <c r="D232" i="14" a="1"/>
  <c r="AC232" i="17" l="1"/>
  <c r="AD232" i="17"/>
  <c r="AF232" i="17" a="1"/>
  <c r="E232" i="24" s="1"/>
  <c r="C232" i="14" a="1"/>
  <c r="D231" i="14" a="1"/>
  <c r="AC231" i="17" l="1"/>
  <c r="AD231" i="17"/>
  <c r="AF231" i="17" a="1"/>
  <c r="E231" i="24" s="1"/>
  <c r="C231" i="14" a="1"/>
  <c r="D230" i="14" a="1"/>
  <c r="AC230" i="17" l="1"/>
  <c r="AD230" i="17"/>
  <c r="AF230" i="17" a="1"/>
  <c r="E230" i="24" s="1"/>
  <c r="C230" i="14" a="1"/>
  <c r="D229" i="14" a="1"/>
  <c r="AC229" i="17" l="1"/>
  <c r="AD229" i="17"/>
  <c r="AF229" i="17" a="1"/>
  <c r="E229" i="24" s="1"/>
  <c r="C229" i="14" a="1"/>
  <c r="D228" i="14" a="1"/>
  <c r="AC228" i="17" l="1"/>
  <c r="AD228" i="17"/>
  <c r="AF228" i="17" a="1"/>
  <c r="E228" i="24" s="1"/>
  <c r="C228" i="14" a="1"/>
  <c r="D227" i="14" a="1"/>
  <c r="AC227" i="17" l="1"/>
  <c r="AD227" i="17"/>
  <c r="AF227" i="17" a="1"/>
  <c r="E227" i="24" s="1"/>
  <c r="C227" i="14" a="1"/>
  <c r="D226" i="14" a="1"/>
  <c r="AC226" i="17" l="1"/>
  <c r="AD226" i="17"/>
  <c r="AF226" i="17" a="1"/>
  <c r="E226" i="24" s="1"/>
  <c r="C226" i="14" a="1"/>
  <c r="D225" i="14" a="1"/>
  <c r="AC225" i="17" l="1"/>
  <c r="AD225" i="17"/>
  <c r="AF225" i="17" a="1"/>
  <c r="E225" i="24" s="1"/>
  <c r="C225" i="14" a="1"/>
  <c r="D224" i="14" a="1"/>
  <c r="AC224" i="17" l="1"/>
  <c r="AD224" i="17"/>
  <c r="AF224" i="17" a="1"/>
  <c r="E224" i="24" s="1"/>
  <c r="C224" i="14" a="1"/>
  <c r="D90" i="14" a="1"/>
  <c r="AC90" i="17" l="1"/>
  <c r="AD90" i="17"/>
  <c r="AF90" i="17" a="1"/>
  <c r="E90" i="24" s="1"/>
  <c r="C90" i="14" a="1"/>
  <c r="D87" i="14" a="1"/>
  <c r="AC87" i="17" l="1"/>
  <c r="AD87" i="17"/>
  <c r="AF87" i="17" a="1"/>
  <c r="C87" i="14" a="1"/>
  <c r="D86" i="14" a="1"/>
  <c r="AC86" i="17" l="1"/>
  <c r="AD86" i="17"/>
  <c r="AF86" i="17" a="1"/>
  <c r="E86" i="24" s="1"/>
  <c r="C86" i="14" a="1"/>
  <c r="D85" i="14" a="1"/>
  <c r="AC85" i="17" l="1"/>
  <c r="AD85" i="17"/>
  <c r="AF85" i="17" a="1"/>
  <c r="C85" i="14" a="1"/>
  <c r="D84" i="14" a="1"/>
  <c r="AC84" i="17" l="1"/>
  <c r="AD84" i="17"/>
  <c r="AF84" i="17" a="1"/>
  <c r="E84" i="24" s="1"/>
  <c r="C84" i="14" a="1"/>
  <c r="D78" i="14" a="1"/>
  <c r="AC78" i="17" l="1"/>
  <c r="AD78" i="17"/>
  <c r="AF78" i="17" a="1"/>
  <c r="E78" i="24" s="1"/>
  <c r="C78" i="14" a="1"/>
  <c r="D77" i="14" a="1"/>
  <c r="AC77" i="17" l="1"/>
  <c r="AD77" i="17"/>
  <c r="AF77" i="17" a="1"/>
  <c r="E77" i="24" s="1"/>
  <c r="C77" i="14" a="1"/>
  <c r="D76" i="14" a="1"/>
  <c r="AD76" i="17" l="1"/>
  <c r="AC76" i="17"/>
  <c r="AF76" i="17" a="1"/>
  <c r="E76" i="24" s="1"/>
  <c r="C76" i="14" a="1"/>
  <c r="D73" i="14" a="1"/>
  <c r="AC73" i="17" l="1"/>
  <c r="AD73" i="17"/>
  <c r="AF73" i="17" a="1"/>
  <c r="C73" i="14" a="1"/>
  <c r="D72" i="14" a="1"/>
  <c r="AD72" i="17" l="1"/>
  <c r="AC72" i="17"/>
  <c r="AF72" i="17" a="1"/>
  <c r="E72" i="24" s="1"/>
  <c r="C72" i="14" a="1"/>
  <c r="D71" i="14" a="1"/>
  <c r="AC71" i="17" l="1"/>
  <c r="AD71" i="17"/>
  <c r="AF71" i="17" a="1"/>
  <c r="E71" i="24" s="1"/>
  <c r="C71" i="14" a="1"/>
  <c r="D67" i="14" a="1"/>
  <c r="AD67" i="17" l="1"/>
  <c r="AC67" i="17"/>
  <c r="AF67" i="17" a="1"/>
  <c r="C67" i="14" a="1"/>
  <c r="D66" i="14" a="1"/>
  <c r="AD66" i="17" l="1"/>
  <c r="AC66" i="17"/>
  <c r="AF66" i="17" a="1"/>
  <c r="E66" i="24" s="1"/>
  <c r="C66" i="14" a="1"/>
  <c r="D62" i="14" a="1"/>
  <c r="AD62" i="17" l="1"/>
  <c r="AC62" i="17"/>
  <c r="AF62" i="17" a="1"/>
  <c r="E62" i="24" s="1"/>
  <c r="C62" i="14" a="1"/>
  <c r="D61" i="14" a="1"/>
  <c r="AC61" i="17" l="1"/>
  <c r="AD61" i="17"/>
  <c r="AF61" i="17" a="1"/>
  <c r="E61" i="24" s="1"/>
  <c r="C61" i="14" a="1"/>
  <c r="D58" i="14" a="1"/>
  <c r="AD58" i="17" l="1"/>
  <c r="AC58" i="17"/>
  <c r="AF58" i="17" a="1"/>
  <c r="C58" i="14" a="1"/>
  <c r="D56" i="14" a="1"/>
  <c r="AC56" i="17" l="1"/>
  <c r="AD56" i="17"/>
  <c r="AF56" i="17" a="1"/>
  <c r="E56" i="24" s="1"/>
  <c r="C56" i="14" a="1"/>
  <c r="D55" i="14" a="1"/>
  <c r="AD55" i="17" l="1"/>
  <c r="AC55" i="17"/>
  <c r="AF55" i="17" a="1"/>
  <c r="E55" i="24" s="1"/>
  <c r="C55" i="14" a="1"/>
  <c r="D54" i="14" a="1"/>
  <c r="AD54" i="17" l="1"/>
  <c r="AC54" i="17"/>
  <c r="AF54" i="17" a="1"/>
  <c r="E54" i="24" s="1"/>
  <c r="C54" i="14" a="1"/>
  <c r="D53" i="14" a="1"/>
  <c r="AC53" i="17" l="1"/>
  <c r="AD53" i="17"/>
  <c r="AF53" i="17" a="1"/>
  <c r="E53" i="24" s="1"/>
  <c r="C53" i="14" a="1"/>
  <c r="D52" i="14" a="1"/>
  <c r="AC52" i="17" l="1"/>
  <c r="AD52" i="17"/>
  <c r="AF52" i="17" a="1"/>
  <c r="C52" i="14" a="1"/>
  <c r="D51" i="14" a="1"/>
  <c r="AD51" i="17" l="1"/>
  <c r="AC51" i="17"/>
  <c r="AF51" i="17" a="1"/>
  <c r="E51" i="24" s="1"/>
  <c r="C51" i="14" a="1"/>
  <c r="D50" i="14" a="1"/>
  <c r="AD50" i="17" l="1"/>
  <c r="AC50" i="17"/>
  <c r="AF50" i="17" a="1"/>
  <c r="C50" i="14" a="1"/>
  <c r="D49" i="14" a="1"/>
  <c r="AC49" i="17" l="1"/>
  <c r="AD49" i="17"/>
  <c r="AF49" i="17" a="1"/>
  <c r="E49" i="24" s="1"/>
  <c r="C49" i="14" a="1"/>
  <c r="D48" i="14" a="1"/>
  <c r="AD48" i="17" l="1"/>
  <c r="AC48" i="17"/>
  <c r="AF48" i="17" a="1"/>
  <c r="E48" i="24" s="1"/>
  <c r="C48" i="14" a="1"/>
  <c r="D46" i="14" a="1"/>
  <c r="AC46" i="17" l="1"/>
  <c r="AD46" i="17"/>
  <c r="AF46" i="17" a="1"/>
  <c r="C46" i="14" a="1"/>
  <c r="D44" i="14" a="1"/>
  <c r="AD44" i="17" l="1"/>
  <c r="AC44" i="17"/>
  <c r="AF44" i="17" a="1"/>
  <c r="C44" i="14" a="1"/>
  <c r="D38" i="14" a="1"/>
  <c r="AD38" i="17" l="1"/>
  <c r="AC38" i="17"/>
  <c r="AF38" i="17" a="1"/>
  <c r="E38" i="24" s="1"/>
  <c r="C38" i="14" a="1"/>
  <c r="D36" i="14" a="1"/>
  <c r="AC36" i="17" l="1"/>
  <c r="AD36" i="17"/>
  <c r="AF36" i="17" a="1"/>
  <c r="E36" i="24" s="1"/>
  <c r="C36" i="14" a="1"/>
  <c r="D34" i="14" a="1"/>
  <c r="AD34" i="17" l="1"/>
  <c r="AC34" i="17"/>
  <c r="AF34" i="17" a="1"/>
  <c r="E34" i="24" s="1"/>
  <c r="C34" i="14" a="1"/>
  <c r="D32" i="14" a="1"/>
  <c r="AC32" i="17" l="1"/>
  <c r="AD32" i="17"/>
  <c r="AF32" i="17" a="1"/>
  <c r="E32" i="24" s="1"/>
  <c r="C32" i="14" a="1"/>
  <c r="D28" i="14" a="1"/>
  <c r="AD28" i="17" l="1"/>
  <c r="AC28" i="17"/>
  <c r="AF28" i="17" a="1"/>
  <c r="E28" i="24" s="1"/>
  <c r="C28" i="14" a="1"/>
  <c r="D27" i="14" a="1"/>
  <c r="AC27" i="17" l="1"/>
  <c r="AD27" i="17"/>
  <c r="AF27" i="17" a="1"/>
  <c r="E27" i="24" s="1"/>
  <c r="C27" i="14" a="1"/>
  <c r="D25" i="14" a="1"/>
  <c r="AD25" i="17" l="1"/>
  <c r="AC25" i="17"/>
  <c r="AF25" i="17" a="1"/>
  <c r="E25" i="24" s="1"/>
  <c r="C25" i="14" a="1"/>
  <c r="D23" i="14" a="1"/>
  <c r="AC23" i="17" l="1"/>
  <c r="AD23" i="17"/>
  <c r="AF23" i="17" a="1"/>
  <c r="E23" i="24" s="1"/>
  <c r="C23" i="14" a="1"/>
  <c r="D18" i="14" a="1"/>
  <c r="AC18" i="17" l="1"/>
  <c r="AD18" i="17"/>
  <c r="AF18" i="17" a="1"/>
  <c r="E18" i="24" s="1"/>
  <c r="C18" i="14" a="1"/>
  <c r="D16" i="14" a="1"/>
  <c r="AD16" i="17" l="1"/>
  <c r="AC16" i="17"/>
  <c r="AF16" i="17" a="1"/>
  <c r="E16" i="24" s="1"/>
  <c r="C16" i="14" a="1"/>
  <c r="D9" i="14" a="1"/>
  <c r="AC9" i="17" l="1"/>
  <c r="AD9" i="17"/>
  <c r="AF9" i="17" a="1"/>
  <c r="E9" i="24" s="1"/>
  <c r="C9" i="14" a="1"/>
  <c r="D7" i="14" a="1"/>
  <c r="AC7" i="17" l="1"/>
  <c r="AD7" i="17"/>
  <c r="AF7" i="17" a="1"/>
  <c r="E7" i="24" s="1"/>
  <c r="C7" i="14" a="1"/>
  <c r="D223" i="14" a="1"/>
  <c r="AC223" i="17" l="1"/>
  <c r="AD223" i="17"/>
  <c r="AF223" i="17" a="1"/>
  <c r="E223" i="24" s="1"/>
  <c r="C223" i="14" a="1"/>
  <c r="D222" i="14" a="1"/>
  <c r="AC222" i="17" l="1"/>
  <c r="AD222" i="17"/>
  <c r="AF222" i="17" a="1"/>
  <c r="E222" i="24" s="1"/>
  <c r="C222" i="14" a="1"/>
  <c r="D221" i="14" a="1"/>
  <c r="AC221" i="17" l="1"/>
  <c r="AD221" i="17"/>
  <c r="AF221" i="17" a="1"/>
  <c r="E221" i="24" s="1"/>
  <c r="C221" i="14" a="1"/>
  <c r="D220" i="14" a="1"/>
  <c r="AC220" i="17" l="1"/>
  <c r="AD220" i="17"/>
  <c r="AF220" i="17" a="1"/>
  <c r="E220" i="24" s="1"/>
  <c r="C220" i="14" a="1"/>
  <c r="D219" i="14" a="1"/>
  <c r="AC219" i="17" l="1"/>
  <c r="AD219" i="17"/>
  <c r="AF219" i="17" a="1"/>
  <c r="E219" i="24" s="1"/>
  <c r="C219" i="14" a="1"/>
  <c r="D218" i="14" a="1"/>
  <c r="AC218" i="17" l="1"/>
  <c r="AD218" i="17"/>
  <c r="AF218" i="17" a="1"/>
  <c r="E218" i="24" s="1"/>
  <c r="C218" i="14" a="1"/>
  <c r="D217" i="14" a="1"/>
  <c r="AC217" i="17" l="1"/>
  <c r="AD217" i="17"/>
  <c r="AF217" i="17" a="1"/>
  <c r="E217" i="24" s="1"/>
  <c r="C217" i="14" a="1"/>
  <c r="D216" i="14" a="1"/>
  <c r="AC216" i="17" l="1"/>
  <c r="AD216" i="17"/>
  <c r="AF216" i="17" a="1"/>
  <c r="E216" i="24" s="1"/>
  <c r="C216" i="14" a="1"/>
  <c r="D215" i="14" a="1"/>
  <c r="AD215" i="17" l="1"/>
  <c r="AC215" i="17"/>
  <c r="AF215" i="17" a="1"/>
  <c r="E215" i="24" s="1"/>
  <c r="C215" i="14" a="1"/>
  <c r="D214" i="14" a="1"/>
  <c r="AD214" i="17" l="1"/>
  <c r="AC214" i="17"/>
  <c r="AF214" i="17" a="1"/>
  <c r="E214" i="24" s="1"/>
  <c r="C214" i="14" a="1"/>
  <c r="D213" i="14" a="1"/>
  <c r="AC213" i="17" l="1"/>
  <c r="AD213" i="17"/>
  <c r="AF213" i="17" a="1"/>
  <c r="E213" i="24" s="1"/>
  <c r="C213" i="14" a="1"/>
  <c r="D212" i="14" a="1"/>
  <c r="AC212" i="17" l="1"/>
  <c r="AD212" i="17"/>
  <c r="AF212" i="17" a="1"/>
  <c r="E212" i="24" s="1"/>
  <c r="C212" i="14" a="1"/>
  <c r="D211" i="14" a="1"/>
  <c r="AD211" i="17" l="1"/>
  <c r="AC211" i="17"/>
  <c r="AF211" i="17" a="1"/>
  <c r="E211" i="24" s="1"/>
  <c r="C211" i="14" a="1"/>
  <c r="D210" i="14" a="1"/>
  <c r="AD210" i="17" l="1"/>
  <c r="AC210" i="17"/>
  <c r="AF210" i="17" a="1"/>
  <c r="E210" i="24" s="1"/>
  <c r="C210" i="14" a="1"/>
  <c r="D209" i="14" a="1"/>
  <c r="AC209" i="17" l="1"/>
  <c r="AD209" i="17"/>
  <c r="AF209" i="17" a="1"/>
  <c r="E209" i="24" s="1"/>
  <c r="C209" i="14" a="1"/>
  <c r="D208" i="14" a="1"/>
  <c r="AD208" i="17" l="1"/>
  <c r="AC208" i="17"/>
  <c r="AF208" i="17" a="1"/>
  <c r="E208" i="24" s="1"/>
  <c r="C208" i="14" a="1"/>
  <c r="D207" i="14" a="1"/>
  <c r="AD207" i="17" l="1"/>
  <c r="AC207" i="17"/>
  <c r="AF207" i="17" a="1"/>
  <c r="E207" i="24" s="1"/>
  <c r="C207" i="14" a="1"/>
  <c r="D206" i="14" a="1"/>
  <c r="AC206" i="17" l="1"/>
  <c r="AD206" i="17"/>
  <c r="AF206" i="17" a="1"/>
  <c r="E206" i="24" s="1"/>
  <c r="C206" i="14" a="1"/>
  <c r="D205" i="14" a="1"/>
  <c r="AC205" i="17" l="1"/>
  <c r="AD205" i="17"/>
  <c r="AF205" i="17" a="1"/>
  <c r="E205" i="24" s="1"/>
  <c r="C205" i="14" a="1"/>
  <c r="D204" i="14" a="1"/>
  <c r="AD204" i="17" l="1"/>
  <c r="AC204" i="17"/>
  <c r="AF204" i="17" a="1"/>
  <c r="E204" i="24" s="1"/>
  <c r="C204" i="14" a="1"/>
  <c r="D203" i="14" a="1"/>
  <c r="AD203" i="17" l="1"/>
  <c r="AC203" i="17"/>
  <c r="AF203" i="17" a="1"/>
  <c r="E203" i="24" s="1"/>
  <c r="E73" i="24" s="1"/>
  <c r="E50" i="24" s="1"/>
  <c r="C203" i="14" a="1"/>
  <c r="D202" i="14" a="1"/>
  <c r="AC202" i="17" l="1"/>
  <c r="AD202" i="17"/>
  <c r="AF202" i="17" a="1"/>
  <c r="E202" i="24" s="1"/>
  <c r="C202" i="14" a="1"/>
  <c r="D201" i="14" a="1"/>
  <c r="AC201" i="17" l="1"/>
  <c r="AD201" i="17"/>
  <c r="AF201" i="17" a="1"/>
  <c r="E201" i="24" s="1"/>
  <c r="C201" i="14" a="1"/>
  <c r="D200" i="14" a="1"/>
  <c r="AD200" i="17" l="1"/>
  <c r="AC200" i="17"/>
  <c r="AF200" i="17" a="1"/>
  <c r="E200" i="24" s="1"/>
  <c r="C200" i="14" a="1"/>
  <c r="D199" i="14" a="1"/>
  <c r="AD199" i="17" l="1"/>
  <c r="AC199" i="17"/>
  <c r="AF199" i="17" a="1"/>
  <c r="E199" i="24" s="1"/>
  <c r="C199" i="14" a="1"/>
  <c r="D198" i="14" a="1"/>
  <c r="AC198" i="17" l="1"/>
  <c r="AD198" i="17"/>
  <c r="AF198" i="17" a="1"/>
  <c r="E198" i="24" s="1"/>
  <c r="C198" i="14" a="1"/>
  <c r="D197" i="14" a="1"/>
  <c r="AC197" i="17" l="1"/>
  <c r="AD197" i="17"/>
  <c r="AF197" i="17" a="1"/>
  <c r="E197" i="24" s="1"/>
  <c r="C197" i="14" a="1"/>
  <c r="D196" i="14" a="1"/>
  <c r="AC196" i="17" l="1"/>
  <c r="AD196" i="17"/>
  <c r="AF196" i="17" a="1"/>
  <c r="E196" i="24" s="1"/>
  <c r="C196" i="14" a="1"/>
  <c r="D195" i="14" a="1"/>
  <c r="AD195" i="17" l="1"/>
  <c r="AC195" i="17"/>
  <c r="AF195" i="17" a="1"/>
  <c r="E195" i="24" s="1"/>
  <c r="C195" i="14" a="1"/>
  <c r="D194" i="14" a="1"/>
  <c r="AD194" i="17" l="1"/>
  <c r="AC194" i="17"/>
  <c r="AF194" i="17" a="1"/>
  <c r="E194" i="24" s="1"/>
  <c r="C194" i="14" a="1"/>
  <c r="D193" i="14" a="1"/>
  <c r="AC193" i="17" l="1"/>
  <c r="AD193" i="17"/>
  <c r="AF193" i="17" a="1"/>
  <c r="E193" i="24" s="1"/>
  <c r="C193" i="14" a="1"/>
  <c r="D192" i="14" a="1"/>
  <c r="AC192" i="17" l="1"/>
  <c r="AD192" i="17"/>
  <c r="AF192" i="17" a="1"/>
  <c r="E192" i="24" s="1"/>
  <c r="C192" i="14" a="1"/>
  <c r="D191" i="14" a="1"/>
  <c r="AC191" i="17" l="1"/>
  <c r="AD191" i="17"/>
  <c r="AF191" i="17" a="1"/>
  <c r="E191" i="24" s="1"/>
  <c r="C191" i="14" a="1"/>
  <c r="D190" i="14" a="1"/>
  <c r="AD190" i="17" l="1"/>
  <c r="AC190" i="17"/>
  <c r="AF190" i="17" a="1"/>
  <c r="E190" i="24" s="1"/>
  <c r="C190" i="14" a="1"/>
  <c r="D189" i="14" a="1"/>
  <c r="AD189" i="17" l="1"/>
  <c r="AC189" i="17"/>
  <c r="AF189" i="17" a="1"/>
  <c r="E189" i="24" s="1"/>
  <c r="C189" i="14" a="1"/>
  <c r="D188" i="14" a="1"/>
  <c r="AC188" i="17" l="1"/>
  <c r="AD188" i="17"/>
  <c r="AF188" i="17" a="1"/>
  <c r="E188" i="24" s="1"/>
  <c r="C188" i="14" a="1"/>
  <c r="D187" i="14" a="1"/>
  <c r="AD187" i="17" l="1"/>
  <c r="AC187" i="17"/>
  <c r="AF187" i="17" a="1"/>
  <c r="E187" i="24" s="1"/>
  <c r="C187" i="14" a="1"/>
  <c r="D186" i="14" a="1"/>
  <c r="AC186" i="17" l="1"/>
  <c r="AD186" i="17"/>
  <c r="AF186" i="17" a="1"/>
  <c r="E186" i="24" s="1"/>
  <c r="C186" i="14" a="1"/>
  <c r="D185" i="14" a="1"/>
  <c r="AC185" i="17" l="1"/>
  <c r="AD185" i="17"/>
  <c r="AF185" i="17" a="1"/>
  <c r="E185" i="24" s="1"/>
  <c r="C185" i="14" a="1"/>
  <c r="D184" i="14" a="1"/>
  <c r="AD184" i="17" l="1"/>
  <c r="AC184" i="17"/>
  <c r="AF184" i="17" a="1"/>
  <c r="E184" i="24" s="1"/>
  <c r="C184" i="14" a="1"/>
  <c r="D183" i="14" a="1"/>
  <c r="AC183" i="17" l="1"/>
  <c r="AD183" i="17"/>
  <c r="AF183" i="17" a="1"/>
  <c r="E183" i="24" s="1"/>
  <c r="C183" i="14" a="1"/>
  <c r="D182" i="14" a="1"/>
  <c r="AC182" i="17" l="1"/>
  <c r="AD182" i="17"/>
  <c r="AF182" i="17" a="1"/>
  <c r="E182" i="24" s="1"/>
  <c r="C182" i="14" a="1"/>
  <c r="D181" i="14" a="1"/>
  <c r="AD181" i="17" l="1"/>
  <c r="AC181" i="17"/>
  <c r="AF181" i="17" a="1"/>
  <c r="E181" i="24" s="1"/>
  <c r="C181" i="14" a="1"/>
  <c r="D180" i="14" a="1"/>
  <c r="AC180" i="17" l="1"/>
  <c r="AD180" i="17"/>
  <c r="AF180" i="17" a="1"/>
  <c r="E180" i="24" s="1"/>
  <c r="C180" i="14" a="1"/>
  <c r="D179" i="14" a="1"/>
  <c r="AD179" i="17" l="1"/>
  <c r="AC179" i="17"/>
  <c r="AF179" i="17" a="1"/>
  <c r="E179" i="24" s="1"/>
  <c r="C179" i="14" a="1"/>
  <c r="D178" i="14" a="1"/>
  <c r="AD178" i="17" l="1"/>
  <c r="AC178" i="17"/>
  <c r="AF178" i="17" a="1"/>
  <c r="E178" i="24" s="1"/>
  <c r="C178" i="14" a="1"/>
  <c r="D177" i="14" a="1"/>
  <c r="AC177" i="17" l="1"/>
  <c r="AD177" i="17"/>
  <c r="AF177" i="17" a="1"/>
  <c r="E177" i="24" s="1"/>
  <c r="C177" i="14" a="1"/>
  <c r="D176" i="14" a="1"/>
  <c r="AC176" i="17" l="1"/>
  <c r="AD176" i="17"/>
  <c r="AF176" i="17" a="1"/>
  <c r="E176" i="24" s="1"/>
  <c r="C176" i="14" a="1"/>
  <c r="D175" i="14" a="1"/>
  <c r="AD175" i="17" l="1"/>
  <c r="AC175" i="17"/>
  <c r="AF175" i="17" a="1"/>
  <c r="E175" i="24" s="1"/>
  <c r="C175" i="14" a="1"/>
  <c r="D174" i="14" a="1"/>
  <c r="AD174" i="17" l="1"/>
  <c r="AC174" i="17"/>
  <c r="AF174" i="17" a="1"/>
  <c r="E174" i="24" s="1"/>
  <c r="C174" i="14" a="1"/>
  <c r="D173" i="14" a="1"/>
  <c r="AC173" i="17" l="1"/>
  <c r="AD173" i="17"/>
  <c r="AF173" i="17" a="1"/>
  <c r="E173" i="24" s="1"/>
  <c r="C173" i="14" a="1"/>
  <c r="D172" i="14" a="1"/>
  <c r="AC172" i="17" l="1"/>
  <c r="AD172" i="17"/>
  <c r="AF172" i="17" a="1"/>
  <c r="E172" i="24" s="1"/>
  <c r="C172" i="14" a="1"/>
  <c r="D171" i="14" a="1"/>
  <c r="AC171" i="17" l="1"/>
  <c r="AD171" i="17"/>
  <c r="AF171" i="17" a="1"/>
  <c r="E171" i="24" s="1"/>
  <c r="C171" i="14" a="1"/>
  <c r="D170" i="14" a="1"/>
  <c r="AC170" i="17" l="1"/>
  <c r="AD170" i="17"/>
  <c r="AF170" i="17" a="1"/>
  <c r="E170" i="24" s="1"/>
  <c r="C170" i="14" a="1"/>
  <c r="D169" i="14" a="1"/>
  <c r="AD169" i="17" l="1"/>
  <c r="AC169" i="17"/>
  <c r="AF169" i="17" a="1"/>
  <c r="E169" i="24" s="1"/>
  <c r="C169" i="14" a="1"/>
  <c r="D168" i="14" a="1"/>
  <c r="AD168" i="17" l="1"/>
  <c r="AC168" i="17"/>
  <c r="AF168" i="17" a="1"/>
  <c r="E168" i="24" s="1"/>
  <c r="C168" i="14" a="1"/>
  <c r="D167" i="14" a="1"/>
  <c r="AC167" i="17" l="1"/>
  <c r="AD167" i="17"/>
  <c r="AF167" i="17" a="1"/>
  <c r="E167" i="24" s="1"/>
  <c r="C167" i="14" a="1"/>
  <c r="D166" i="14" a="1"/>
  <c r="AC166" i="17" l="1"/>
  <c r="AD166" i="17"/>
  <c r="AF166" i="17" a="1"/>
  <c r="E166" i="24" s="1"/>
  <c r="C166" i="14" a="1"/>
  <c r="D165" i="14" a="1"/>
  <c r="AD165" i="17" l="1"/>
  <c r="AC165" i="17"/>
  <c r="AF165" i="17" a="1"/>
  <c r="E165" i="24" s="1"/>
  <c r="C165" i="14" a="1"/>
  <c r="D164" i="14" a="1"/>
  <c r="AD164" i="17" l="1"/>
  <c r="AC164" i="17"/>
  <c r="AF164" i="17" a="1"/>
  <c r="E164" i="24" s="1"/>
  <c r="C164" i="14" a="1"/>
  <c r="D163" i="14" a="1"/>
  <c r="AC163" i="17" l="1"/>
  <c r="AD163" i="17"/>
  <c r="AF163" i="17" a="1"/>
  <c r="E163" i="24" s="1"/>
  <c r="C163" i="14" a="1"/>
  <c r="D162" i="14" a="1"/>
  <c r="AC162" i="17" l="1"/>
  <c r="AD162" i="17"/>
  <c r="AF162" i="17" a="1"/>
  <c r="E162" i="24" s="1"/>
  <c r="C162" i="14" a="1"/>
  <c r="D161" i="14" a="1"/>
  <c r="AD161" i="17" l="1"/>
  <c r="AC161" i="17"/>
  <c r="AF161" i="17" a="1"/>
  <c r="E161" i="24" s="1"/>
  <c r="C161" i="14" a="1"/>
  <c r="D160" i="14" a="1"/>
  <c r="AD160" i="17" l="1"/>
  <c r="AC160" i="17"/>
  <c r="AF160" i="17" a="1"/>
  <c r="E160" i="24" s="1"/>
  <c r="C160" i="14" a="1"/>
  <c r="D159" i="14" a="1"/>
  <c r="AC159" i="17" l="1"/>
  <c r="AD159" i="17"/>
  <c r="AF159" i="17" a="1"/>
  <c r="E159" i="24" s="1"/>
  <c r="C159" i="14" a="1"/>
  <c r="D158" i="14" a="1"/>
  <c r="AD158" i="17" l="1"/>
  <c r="AC158" i="17"/>
  <c r="AF158" i="17" a="1"/>
  <c r="E158" i="24" s="1"/>
  <c r="C158" i="14" a="1"/>
  <c r="D157" i="14" a="1"/>
  <c r="AC157" i="17" l="1"/>
  <c r="AD157" i="17"/>
  <c r="AF157" i="17" a="1"/>
  <c r="E157" i="24" s="1"/>
  <c r="C157" i="14" a="1"/>
  <c r="D156" i="14" a="1"/>
  <c r="AC156" i="17" l="1"/>
  <c r="AD156" i="17"/>
  <c r="AF156" i="17" a="1"/>
  <c r="E156" i="24" s="1"/>
  <c r="C156" i="14" a="1"/>
  <c r="D155" i="14" a="1"/>
  <c r="AC155" i="17" l="1"/>
  <c r="AD155" i="17"/>
  <c r="AF155" i="17" a="1"/>
  <c r="E155" i="24" s="1"/>
  <c r="C155" i="14" a="1"/>
  <c r="D154" i="14" a="1"/>
  <c r="AD154" i="17" l="1"/>
  <c r="AC154" i="17"/>
  <c r="AF154" i="17" a="1"/>
  <c r="E154" i="24" s="1"/>
  <c r="C154" i="14" a="1"/>
  <c r="D153" i="14" a="1"/>
  <c r="AC153" i="17" l="1"/>
  <c r="AD153" i="17"/>
  <c r="AF153" i="17" a="1"/>
  <c r="E153" i="24" s="1"/>
  <c r="C153" i="14" a="1"/>
  <c r="D152" i="14" a="1"/>
  <c r="AC152" i="17" l="1"/>
  <c r="AD152" i="17"/>
  <c r="AF152" i="17" a="1"/>
  <c r="E152" i="24" s="1"/>
  <c r="C152" i="14" a="1"/>
  <c r="D151" i="14" a="1"/>
  <c r="AC151" i="17" l="1"/>
  <c r="AD151" i="17"/>
  <c r="AF151" i="17" a="1"/>
  <c r="E151" i="24" s="1"/>
  <c r="C151" i="14" a="1"/>
  <c r="D150" i="14" a="1"/>
  <c r="AC150" i="17" l="1"/>
  <c r="AD150" i="17"/>
  <c r="AF150" i="17" a="1"/>
  <c r="E150" i="24" s="1"/>
  <c r="C150" i="14" a="1"/>
  <c r="D149" i="14" a="1"/>
  <c r="AD149" i="17" l="1"/>
  <c r="AC149" i="17"/>
  <c r="AF149" i="17" a="1"/>
  <c r="E149" i="24" s="1"/>
  <c r="C149" i="14" a="1"/>
  <c r="D148" i="14" a="1"/>
  <c r="AC148" i="17" l="1"/>
  <c r="AD148" i="17"/>
  <c r="AF148" i="17" a="1"/>
  <c r="E148" i="24" s="1"/>
  <c r="C148" i="14" a="1"/>
  <c r="D147" i="14" a="1"/>
  <c r="AC147" i="17" l="1"/>
  <c r="AD147" i="17"/>
  <c r="AF147" i="17" a="1"/>
  <c r="E147" i="24" s="1"/>
  <c r="C147" i="14" a="1"/>
  <c r="D146" i="14" a="1"/>
  <c r="AC146" i="17" l="1"/>
  <c r="AD146" i="17"/>
  <c r="AF146" i="17" a="1"/>
  <c r="E146" i="24" s="1"/>
  <c r="C146" i="14" a="1"/>
  <c r="D145" i="14" a="1"/>
  <c r="AC145" i="17" l="1"/>
  <c r="AD145" i="17"/>
  <c r="AF145" i="17" a="1"/>
  <c r="E145" i="24" s="1"/>
  <c r="C145" i="14" a="1"/>
  <c r="D144" i="14" a="1"/>
  <c r="AD144" i="17" l="1"/>
  <c r="AC144" i="17"/>
  <c r="AF144" i="17" a="1"/>
  <c r="E144" i="24" s="1"/>
  <c r="C144" i="14" a="1"/>
  <c r="D143" i="14" a="1"/>
  <c r="AC143" i="17" l="1"/>
  <c r="AD143" i="17"/>
  <c r="AF143" i="17" a="1"/>
  <c r="E143" i="24" s="1"/>
  <c r="C143" i="14" a="1"/>
  <c r="D142" i="14" a="1"/>
  <c r="AD142" i="17" l="1"/>
  <c r="AC142" i="17"/>
  <c r="AF142" i="17" a="1"/>
  <c r="E142" i="24" s="1"/>
  <c r="C142" i="14" a="1"/>
  <c r="D141" i="14" a="1"/>
  <c r="AC141" i="17" l="1"/>
  <c r="AD141" i="17"/>
  <c r="AF141" i="17" a="1"/>
  <c r="E141" i="24" s="1"/>
  <c r="C141" i="14" a="1"/>
  <c r="D140" i="14" a="1"/>
  <c r="AD140" i="17" l="1"/>
  <c r="AC140" i="17"/>
  <c r="AF140" i="17" a="1"/>
  <c r="E140" i="24" s="1"/>
  <c r="C140" i="14" a="1"/>
  <c r="D139" i="14" a="1"/>
  <c r="AC139" i="17" l="1"/>
  <c r="AD139" i="17"/>
  <c r="AF139" i="17" a="1"/>
  <c r="E139" i="24" s="1"/>
  <c r="C139" i="14" a="1"/>
  <c r="D138" i="14" a="1"/>
  <c r="AD138" i="17" l="1"/>
  <c r="AC138" i="17"/>
  <c r="AF138" i="17" a="1"/>
  <c r="E138" i="24" s="1"/>
  <c r="C138" i="14" a="1"/>
  <c r="D137" i="14" a="1"/>
  <c r="AC137" i="17" l="1"/>
  <c r="AD137" i="17"/>
  <c r="AF137" i="17" a="1"/>
  <c r="E137" i="24" s="1"/>
  <c r="C137" i="14" a="1"/>
  <c r="D136" i="14" a="1"/>
  <c r="AC136" i="17" l="1"/>
  <c r="AD136" i="17"/>
  <c r="AF136" i="17" a="1"/>
  <c r="E136" i="24" s="1"/>
  <c r="C136" i="14" a="1"/>
  <c r="D135" i="14" a="1"/>
  <c r="AD135" i="17" l="1"/>
  <c r="AC135" i="17"/>
  <c r="AF135" i="17" a="1"/>
  <c r="E135" i="24" s="1"/>
  <c r="C135" i="14" a="1"/>
  <c r="D134" i="14" a="1"/>
  <c r="AD134" i="17" l="1"/>
  <c r="AC134" i="17"/>
  <c r="AF134" i="17" a="1"/>
  <c r="E134" i="24" s="1"/>
  <c r="C134" i="14" a="1"/>
  <c r="D133" i="14" a="1"/>
  <c r="AC133" i="17" l="1"/>
  <c r="AD133" i="17"/>
  <c r="AF133" i="17" a="1"/>
  <c r="E133" i="24" s="1"/>
  <c r="C133" i="14" a="1"/>
  <c r="D132" i="14" a="1"/>
  <c r="AC132" i="17" l="1"/>
  <c r="AD132" i="17"/>
  <c r="AF132" i="17" a="1"/>
  <c r="E132" i="24" s="1"/>
  <c r="C132" i="14" a="1"/>
  <c r="D131" i="14" a="1"/>
  <c r="AC131" i="17" l="1"/>
  <c r="AD131" i="17"/>
  <c r="AF131" i="17" a="1"/>
  <c r="E131" i="24" s="1"/>
  <c r="C131" i="14" a="1"/>
  <c r="D130" i="14" a="1"/>
  <c r="AD130" i="17" l="1"/>
  <c r="AC130" i="17"/>
  <c r="AF130" i="17" a="1"/>
  <c r="E130" i="24" s="1"/>
  <c r="C130" i="14" a="1"/>
  <c r="D129" i="14" a="1"/>
  <c r="AC129" i="17" l="1"/>
  <c r="AD129" i="17"/>
  <c r="AF129" i="17" a="1"/>
  <c r="C129" i="14" a="1"/>
  <c r="D128" i="14" a="1"/>
  <c r="AD128" i="17" l="1"/>
  <c r="AC128" i="17"/>
  <c r="AF128" i="17" a="1"/>
  <c r="E128" i="24" s="1"/>
  <c r="E610" i="24" s="1"/>
  <c r="C128" i="14" a="1"/>
  <c r="D127" i="14" a="1"/>
  <c r="AD127" i="17" l="1"/>
  <c r="AC127" i="17"/>
  <c r="AF127" i="17" a="1"/>
  <c r="E127" i="24" s="1"/>
  <c r="C127" i="14" a="1"/>
  <c r="D126" i="14" a="1"/>
  <c r="AC126" i="17" l="1"/>
  <c r="AD126" i="17"/>
  <c r="AF126" i="17" a="1"/>
  <c r="E126" i="24" s="1"/>
  <c r="C126" i="14" a="1"/>
  <c r="D125" i="14" a="1"/>
  <c r="AC125" i="17" l="1"/>
  <c r="AD125" i="17"/>
  <c r="AF125" i="17" a="1"/>
  <c r="C125" i="14" a="1"/>
  <c r="D124" i="14" a="1"/>
  <c r="AC124" i="17" l="1"/>
  <c r="AD124" i="17"/>
  <c r="AF124" i="17" a="1"/>
  <c r="E124" i="24" s="1"/>
  <c r="C124" i="14" a="1"/>
  <c r="D123" i="14" a="1"/>
  <c r="AD123" i="17" l="1"/>
  <c r="AC123" i="17"/>
  <c r="AF123" i="17" a="1"/>
  <c r="E123" i="24" s="1"/>
  <c r="C123" i="14" a="1"/>
  <c r="D122" i="14" a="1"/>
  <c r="AD122" i="17" l="1"/>
  <c r="AC122" i="17"/>
  <c r="AF122" i="17" a="1"/>
  <c r="E122" i="24" s="1"/>
  <c r="C122" i="14" a="1"/>
  <c r="D121" i="14" a="1"/>
  <c r="AC121" i="17" l="1"/>
  <c r="AD121" i="17"/>
  <c r="AF121" i="17" a="1"/>
  <c r="E121" i="24" s="1"/>
  <c r="C121" i="14" a="1"/>
  <c r="D120" i="14" a="1"/>
  <c r="AC120" i="17" l="1"/>
  <c r="AD120" i="17"/>
  <c r="AF120" i="17" a="1"/>
  <c r="E120" i="24" s="1"/>
  <c r="C120" i="14" a="1"/>
  <c r="D119" i="14" a="1"/>
  <c r="AD119" i="17" l="1"/>
  <c r="AC119" i="17"/>
  <c r="AF119" i="17" a="1"/>
  <c r="E119" i="24" s="1"/>
  <c r="C119" i="14" a="1"/>
  <c r="D118" i="14" a="1"/>
  <c r="AD118" i="17" l="1"/>
  <c r="AC118" i="17"/>
  <c r="AF118" i="17" a="1"/>
  <c r="E118" i="24" s="1"/>
  <c r="E626" i="24" s="1"/>
  <c r="C118" i="14" a="1"/>
  <c r="D117" i="14" a="1"/>
  <c r="AC117" i="17" l="1"/>
  <c r="AD117" i="17"/>
  <c r="AF117" i="17" a="1"/>
  <c r="E117" i="24" s="1"/>
  <c r="C117" i="14" a="1"/>
  <c r="D116" i="14" a="1"/>
  <c r="AC116" i="17" l="1"/>
  <c r="AD116" i="17"/>
  <c r="AF116" i="17" a="1"/>
  <c r="C116" i="14" a="1"/>
  <c r="D115" i="14" a="1"/>
  <c r="AC115" i="17" l="1"/>
  <c r="AD115" i="17"/>
  <c r="AF115" i="17" a="1"/>
  <c r="E115" i="24" s="1"/>
  <c r="C115" i="14" a="1"/>
  <c r="D114" i="14" a="1"/>
  <c r="AD114" i="17" l="1"/>
  <c r="AC114" i="17"/>
  <c r="AF114" i="17" a="1"/>
  <c r="E114" i="24" s="1"/>
  <c r="C114" i="14" a="1"/>
  <c r="D113" i="14" a="1"/>
  <c r="AC113" i="17" l="1"/>
  <c r="AD113" i="17"/>
  <c r="AF113" i="17" a="1"/>
  <c r="E113" i="24" s="1"/>
  <c r="E116" i="24" s="1"/>
  <c r="E67" i="24" s="1"/>
  <c r="E58" i="24" s="1"/>
  <c r="C113" i="14" a="1"/>
  <c r="D112" i="14" a="1"/>
  <c r="AD112" i="17" l="1"/>
  <c r="AC112" i="17"/>
  <c r="AF112" i="17" a="1"/>
  <c r="E112" i="24" s="1"/>
  <c r="C112" i="14" a="1"/>
  <c r="D111" i="14" a="1"/>
  <c r="AD111" i="17" l="1"/>
  <c r="AC111" i="17"/>
  <c r="AF111" i="17" a="1"/>
  <c r="C111" i="14" a="1"/>
  <c r="D110" i="14" a="1"/>
  <c r="AC110" i="17" l="1"/>
  <c r="AD110" i="17"/>
  <c r="AF110" i="17" a="1"/>
  <c r="C110" i="14" a="1"/>
  <c r="D109" i="14" a="1"/>
  <c r="AC109" i="17" l="1"/>
  <c r="AD109" i="17"/>
  <c r="AF109" i="17" a="1"/>
  <c r="E109" i="24" s="1"/>
  <c r="C109" i="14" a="1"/>
  <c r="D108" i="14" a="1"/>
  <c r="AC108" i="17" l="1"/>
  <c r="AD108" i="17"/>
  <c r="AF108" i="17" a="1"/>
  <c r="E108" i="24" s="1"/>
  <c r="C108" i="14" a="1"/>
  <c r="D107" i="14" a="1"/>
  <c r="AD107" i="17" l="1"/>
  <c r="AC107" i="17"/>
  <c r="AF107" i="17" a="1"/>
  <c r="E107" i="24" s="1"/>
  <c r="E125" i="24" s="1"/>
  <c r="E111" i="24" s="1"/>
  <c r="C107" i="14" a="1"/>
  <c r="D106" i="14" a="1"/>
  <c r="AC106" i="17" l="1"/>
  <c r="AD106" i="17"/>
  <c r="AF106" i="17" a="1"/>
  <c r="E106" i="24" s="1"/>
  <c r="C106" i="14" a="1"/>
  <c r="D105" i="14" a="1"/>
  <c r="AC105" i="17" l="1"/>
  <c r="AD105" i="17"/>
  <c r="AF105" i="17" a="1"/>
  <c r="E105" i="24" s="1"/>
  <c r="C105" i="14" a="1"/>
  <c r="D104" i="14" a="1"/>
  <c r="AC104" i="17" l="1"/>
  <c r="AD104" i="17"/>
  <c r="AF104" i="17" a="1"/>
  <c r="E104" i="24" s="1"/>
  <c r="C104" i="14" a="1"/>
  <c r="D103" i="14" a="1"/>
  <c r="AD103" i="17" l="1"/>
  <c r="AC103" i="17"/>
  <c r="AF103" i="17" a="1"/>
  <c r="E103" i="24" s="1"/>
  <c r="E474" i="24" s="1"/>
  <c r="C103" i="14" a="1"/>
  <c r="D102" i="14" a="1"/>
  <c r="AD102" i="17" l="1"/>
  <c r="AC102" i="17"/>
  <c r="AF102" i="17" a="1"/>
  <c r="E102" i="24" s="1"/>
  <c r="C102" i="14" a="1"/>
  <c r="D101" i="14" a="1"/>
  <c r="AC101" i="17" l="1"/>
  <c r="AD101" i="17"/>
  <c r="AF101" i="17" a="1"/>
  <c r="E101" i="24" s="1"/>
  <c r="C101" i="14" a="1"/>
  <c r="D100" i="14" a="1"/>
  <c r="AD100" i="17" l="1"/>
  <c r="AC100" i="17"/>
  <c r="AF100" i="17" a="1"/>
  <c r="E100" i="24" s="1"/>
  <c r="C100" i="14" a="1"/>
  <c r="D99" i="14" a="1"/>
  <c r="AD99" i="17" l="1"/>
  <c r="AC99" i="17"/>
  <c r="AF99" i="17" a="1"/>
  <c r="C99" i="14" a="1"/>
  <c r="D98" i="14" a="1"/>
  <c r="AC98" i="17" l="1"/>
  <c r="AD98" i="17"/>
  <c r="AF98" i="17" a="1"/>
  <c r="E98" i="24" s="1"/>
  <c r="C98" i="14" a="1"/>
  <c r="D97" i="14" a="1"/>
  <c r="AC97" i="17" l="1"/>
  <c r="AD97" i="17"/>
  <c r="AF97" i="17" a="1"/>
  <c r="E97" i="24" s="1"/>
  <c r="E87" i="24" s="1"/>
  <c r="E85" i="24" s="1"/>
  <c r="C97" i="14" a="1"/>
  <c r="D96" i="14" a="1"/>
  <c r="AD96" i="17" l="1"/>
  <c r="AC96" i="17"/>
  <c r="AF96" i="17" a="1"/>
  <c r="E96" i="24" s="1"/>
  <c r="C96" i="14" a="1"/>
  <c r="D95" i="14" a="1"/>
  <c r="AD95" i="17" l="1"/>
  <c r="AC95" i="17"/>
  <c r="AF95" i="17" a="1"/>
  <c r="E95" i="24" s="1"/>
  <c r="E46" i="24" s="1"/>
  <c r="C95" i="14" a="1"/>
  <c r="D94" i="14" a="1"/>
  <c r="AC94" i="17" l="1"/>
  <c r="AD94" i="17"/>
  <c r="AF94" i="17" a="1"/>
  <c r="E94" i="24" s="1"/>
  <c r="C94" i="14" a="1"/>
  <c r="D93" i="14" a="1"/>
  <c r="AC93" i="17" l="1"/>
  <c r="AD93" i="17"/>
  <c r="AF93" i="17" a="1"/>
  <c r="E93" i="24" s="1"/>
  <c r="C93" i="14" a="1"/>
  <c r="D92" i="14" a="1"/>
  <c r="AD92" i="17" l="1"/>
  <c r="AC92" i="17"/>
  <c r="AF92" i="17" a="1"/>
  <c r="E92" i="24" s="1"/>
  <c r="C92" i="14" a="1"/>
  <c r="D91" i="14" a="1"/>
  <c r="AD91" i="17" l="1"/>
  <c r="AC91" i="17"/>
  <c r="AF91" i="17" a="1"/>
  <c r="E91" i="24" s="1"/>
  <c r="E99" i="24" s="1"/>
  <c r="C91" i="14" a="1"/>
  <c r="D89" i="14" a="1"/>
  <c r="AC89" i="17" l="1"/>
  <c r="AD89" i="17"/>
  <c r="AF89" i="17" a="1"/>
  <c r="E89" i="24" s="1"/>
  <c r="C89" i="14" a="1"/>
  <c r="D88" i="14" a="1"/>
  <c r="AD88" i="17" l="1"/>
  <c r="AC88" i="17"/>
  <c r="AF88" i="17" a="1"/>
  <c r="E88" i="24" s="1"/>
  <c r="C88" i="14" a="1"/>
  <c r="D83" i="14" a="1"/>
  <c r="AD83" i="17" l="1"/>
  <c r="AC83" i="17"/>
  <c r="AF83" i="17" a="1"/>
  <c r="E83" i="24" s="1"/>
  <c r="C83" i="14" a="1"/>
  <c r="D82" i="14" a="1"/>
  <c r="AC82" i="17" l="1"/>
  <c r="AD82" i="17"/>
  <c r="AF82" i="17" a="1"/>
  <c r="E82" i="24" s="1"/>
  <c r="C82" i="14" a="1"/>
  <c r="D81" i="14" a="1"/>
  <c r="AC81" i="17" l="1"/>
  <c r="AD81" i="17"/>
  <c r="AF81" i="17" a="1"/>
  <c r="E81" i="24" s="1"/>
  <c r="C81" i="14" a="1"/>
  <c r="D80" i="14" a="1"/>
  <c r="AC80" i="17" l="1"/>
  <c r="AD80" i="17"/>
  <c r="AF80" i="17" a="1"/>
  <c r="E80" i="24" s="1"/>
  <c r="C80" i="14" a="1"/>
  <c r="D79" i="14" a="1"/>
  <c r="AD79" i="17" l="1"/>
  <c r="AC79" i="17"/>
  <c r="AF79" i="17" a="1"/>
  <c r="E79" i="24" s="1"/>
  <c r="C79" i="14" a="1"/>
  <c r="D75" i="14" a="1"/>
  <c r="AD75" i="17" l="1"/>
  <c r="AC75" i="17"/>
  <c r="AF75" i="17" a="1"/>
  <c r="E75" i="24" s="1"/>
  <c r="C75" i="14" a="1"/>
  <c r="D74" i="14" a="1"/>
  <c r="AC74" i="17" l="1"/>
  <c r="AD74" i="17"/>
  <c r="AF74" i="17" a="1"/>
  <c r="E74" i="24" s="1"/>
  <c r="C74" i="14" a="1"/>
  <c r="D70" i="14" a="1"/>
  <c r="AC70" i="17" l="1"/>
  <c r="AD70" i="17"/>
  <c r="AF70" i="17" a="1"/>
  <c r="E70" i="24" s="1"/>
  <c r="C70" i="14" a="1"/>
  <c r="D69" i="14" a="1"/>
  <c r="AD69" i="17" l="1"/>
  <c r="AC69" i="17"/>
  <c r="AF69" i="17" a="1"/>
  <c r="E69" i="24" s="1"/>
  <c r="C69" i="14" a="1"/>
  <c r="D68" i="14" a="1"/>
  <c r="AC68" i="17" l="1"/>
  <c r="AD68" i="17"/>
  <c r="AF68" i="17" a="1"/>
  <c r="E68" i="24" s="1"/>
  <c r="C68" i="14" a="1"/>
  <c r="D65" i="14" a="1"/>
  <c r="AC65" i="17" l="1"/>
  <c r="AD65" i="17"/>
  <c r="AF65" i="17" a="1"/>
  <c r="E65" i="24" s="1"/>
  <c r="C65" i="14" a="1"/>
  <c r="D64" i="14" a="1"/>
  <c r="AC64" i="17" l="1"/>
  <c r="AD64" i="17"/>
  <c r="AF64" i="17" a="1"/>
  <c r="E64" i="24" s="1"/>
  <c r="E44" i="24" s="1"/>
  <c r="E52" i="24" s="1"/>
  <c r="C64" i="14" a="1"/>
  <c r="D63" i="14" a="1"/>
  <c r="AD63" i="17" l="1"/>
  <c r="AC63" i="17"/>
  <c r="AF63" i="17" a="1"/>
  <c r="E63" i="24" s="1"/>
  <c r="C63" i="14" a="1"/>
  <c r="D60" i="14" a="1"/>
  <c r="AC60" i="17" l="1"/>
  <c r="AD60" i="17"/>
  <c r="AF60" i="17" a="1"/>
  <c r="E60" i="24" s="1"/>
  <c r="C60" i="14" a="1"/>
  <c r="D59" i="14" a="1"/>
  <c r="AD59" i="17" l="1"/>
  <c r="AC59" i="17"/>
  <c r="AF59" i="17" a="1"/>
  <c r="E59" i="24" s="1"/>
  <c r="C59" i="14" a="1"/>
  <c r="D57" i="14" a="1"/>
  <c r="AC57" i="17" l="1"/>
  <c r="AD57" i="17"/>
  <c r="AF57" i="17" a="1"/>
  <c r="E57" i="24" s="1"/>
  <c r="C57" i="14" a="1"/>
  <c r="D47" i="14" a="1"/>
  <c r="AD47" i="17" l="1"/>
  <c r="AC47" i="17"/>
  <c r="AF47" i="17" a="1"/>
  <c r="E47" i="24" s="1"/>
  <c r="C47" i="14" a="1"/>
  <c r="D45" i="14" a="1"/>
  <c r="AC45" i="17" l="1"/>
  <c r="AD45" i="17"/>
  <c r="AF45" i="17" a="1"/>
  <c r="E45" i="24" s="1"/>
  <c r="C45" i="14" a="1"/>
  <c r="D43" i="14" a="1"/>
  <c r="AD43" i="17" l="1"/>
  <c r="AC43" i="17"/>
  <c r="AF43" i="17" a="1"/>
  <c r="E43" i="24" s="1"/>
  <c r="C43" i="14" a="1"/>
  <c r="D42" i="14" a="1"/>
  <c r="AC42" i="17" l="1"/>
  <c r="AD42" i="17"/>
  <c r="AF42" i="17" a="1"/>
  <c r="E42" i="24" s="1"/>
  <c r="C42" i="14" a="1"/>
  <c r="D41" i="14" a="1"/>
  <c r="AC41" i="17" l="1"/>
  <c r="AD41" i="17"/>
  <c r="AF41" i="17" a="1"/>
  <c r="E41" i="24" s="1"/>
  <c r="E129" i="24" s="1"/>
  <c r="E110" i="24" s="1"/>
  <c r="C41" i="14" a="1"/>
  <c r="D40" i="14" a="1"/>
  <c r="AC40" i="17" l="1"/>
  <c r="AD40" i="17"/>
  <c r="AF40" i="17" a="1"/>
  <c r="E40" i="24" s="1"/>
  <c r="C40" i="14" a="1"/>
  <c r="D39" i="14" a="1"/>
  <c r="AD39" i="17" l="1"/>
  <c r="AC39" i="17"/>
  <c r="AF39" i="17" a="1"/>
  <c r="E39" i="24" s="1"/>
  <c r="C39" i="14" a="1"/>
  <c r="D37" i="14" a="1"/>
  <c r="AC37" i="17" l="1"/>
  <c r="AD37" i="17"/>
  <c r="AF37" i="17" a="1"/>
  <c r="E37" i="24" s="1"/>
  <c r="C37" i="14" a="1"/>
  <c r="D35" i="14" a="1"/>
  <c r="AD35" i="17" l="1"/>
  <c r="AC35" i="17"/>
  <c r="AF35" i="17" a="1"/>
  <c r="E35" i="24" s="1"/>
  <c r="C35" i="14" a="1"/>
  <c r="D33" i="14" a="1"/>
  <c r="AC33" i="17" l="1"/>
  <c r="AD33" i="17"/>
  <c r="AF33" i="17" a="1"/>
  <c r="E33" i="24" s="1"/>
  <c r="C33" i="14" a="1"/>
  <c r="D31" i="14" a="1"/>
  <c r="AD31" i="17" l="1"/>
  <c r="AC31" i="17"/>
  <c r="AF31" i="17" a="1"/>
  <c r="E31" i="24" s="1"/>
  <c r="C31" i="14" a="1"/>
  <c r="D30" i="14" a="1"/>
  <c r="AD30" i="17" l="1"/>
  <c r="AC30" i="17"/>
  <c r="AF30" i="17" a="1"/>
  <c r="E30" i="24" s="1"/>
  <c r="C30" i="14" a="1"/>
  <c r="D29" i="14" a="1"/>
  <c r="AC29" i="17" l="1"/>
  <c r="AD29" i="17"/>
  <c r="AF29" i="17" a="1"/>
  <c r="E29" i="24" s="1"/>
  <c r="C29" i="14" a="1"/>
  <c r="D26" i="14" a="1"/>
  <c r="AC26" i="17" l="1"/>
  <c r="AD26" i="17"/>
  <c r="AF26" i="17" a="1"/>
  <c r="E26" i="24" s="1"/>
  <c r="C26" i="14" a="1"/>
  <c r="D24" i="14" a="1"/>
  <c r="AD24" i="17" l="1"/>
  <c r="AC24" i="17"/>
  <c r="AF24" i="17" a="1"/>
  <c r="E24" i="24" s="1"/>
  <c r="C24" i="14" a="1"/>
  <c r="D22" i="14" a="1"/>
  <c r="AC22" i="17" l="1"/>
  <c r="AD22" i="17"/>
  <c r="AF22" i="17" a="1"/>
  <c r="E22" i="24" s="1"/>
  <c r="C22" i="14" a="1"/>
  <c r="D21" i="14" a="1"/>
  <c r="AD21" i="17" l="1"/>
  <c r="AC21" i="17"/>
  <c r="AF21" i="17" a="1"/>
  <c r="E21" i="24" s="1"/>
  <c r="C21" i="14" a="1"/>
  <c r="D20" i="14" a="1"/>
  <c r="AD20" i="17" l="1"/>
  <c r="AC20" i="17"/>
  <c r="AF20" i="17" a="1"/>
  <c r="E20" i="24" s="1"/>
  <c r="C20" i="14" a="1"/>
  <c r="D19" i="14" a="1"/>
  <c r="AC19" i="17" l="1"/>
  <c r="AD19" i="17"/>
  <c r="AF19" i="17" a="1"/>
  <c r="E19" i="24" s="1"/>
  <c r="C19" i="14" a="1"/>
  <c r="D17" i="14" a="1"/>
  <c r="AD17" i="17" l="1"/>
  <c r="AC17" i="17"/>
  <c r="AF17" i="17" a="1"/>
  <c r="E17" i="24" s="1"/>
  <c r="C17" i="14" a="1"/>
  <c r="D15" i="14" a="1"/>
  <c r="AC15" i="17" l="1"/>
  <c r="AD15" i="17"/>
  <c r="AF15" i="17" a="1"/>
  <c r="E15" i="24" s="1"/>
  <c r="C15" i="14" a="1"/>
  <c r="D14" i="14" a="1"/>
  <c r="AD14" i="17" l="1"/>
  <c r="AC14" i="17"/>
  <c r="AF14" i="17" a="1"/>
  <c r="E14" i="24" s="1"/>
  <c r="C14" i="14" a="1"/>
  <c r="D13" i="14" a="1"/>
  <c r="AC13" i="17" l="1"/>
  <c r="AD13" i="17"/>
  <c r="AF13" i="17" a="1"/>
  <c r="E13" i="24" s="1"/>
  <c r="C13" i="14" a="1"/>
  <c r="D12" i="14" a="1"/>
  <c r="AD12" i="17" l="1"/>
  <c r="AC12" i="17"/>
  <c r="AF12" i="17" a="1"/>
  <c r="E12" i="24" s="1"/>
  <c r="C12" i="14" a="1"/>
  <c r="D11" i="14" a="1"/>
  <c r="AC11" i="17" l="1"/>
  <c r="AD11" i="17"/>
  <c r="AF11" i="17" a="1"/>
  <c r="E11" i="24" s="1"/>
  <c r="C11" i="14" a="1"/>
  <c r="D10" i="14" a="1"/>
  <c r="AD10" i="17" l="1"/>
  <c r="AC10" i="17"/>
  <c r="AF10" i="17" a="1"/>
  <c r="E10" i="24" s="1"/>
  <c r="C10" i="14" a="1"/>
  <c r="D8" i="14" a="1"/>
  <c r="AD8" i="17" l="1"/>
  <c r="AC8" i="17"/>
  <c r="AF8" i="17" a="1"/>
  <c r="E8" i="24" s="1"/>
  <c r="C8" i="14" a="1"/>
  <c r="D5" i="14" a="1"/>
  <c r="AC5" i="17" l="1"/>
  <c r="AD5" i="17"/>
  <c r="AF5" i="17" a="1"/>
  <c r="E5" i="24" s="1"/>
  <c r="C5" i="14" a="1"/>
  <c r="D4" i="14" a="1"/>
  <c r="AC4" i="17" l="1"/>
  <c r="AD4" i="17"/>
  <c r="AF4" i="17" a="1"/>
  <c r="E4" i="24" s="1"/>
  <c r="C4" i="14" a="1"/>
  <c r="D6" i="14" a="1"/>
  <c r="AD6" i="17" l="1"/>
  <c r="AC6" i="17"/>
  <c r="AF6" i="17" a="1"/>
  <c r="E6" i="24" s="1"/>
  <c r="C6" i="14" a="1"/>
  <c r="D3" i="14" a="1"/>
  <c r="AD3" i="17" l="1"/>
  <c r="AC3" i="17"/>
  <c r="C3" i="14" a="1"/>
  <c r="AF3" i="17" a="1"/>
  <c r="E3" i="24" s="1"/>
  <c r="D2" i="14" a="1"/>
  <c r="AC2" i="17" l="1"/>
  <c r="AD2" i="17"/>
  <c r="E795" i="14"/>
  <c r="E797" i="14"/>
  <c r="E799" i="14"/>
  <c r="E804" i="14"/>
  <c r="E807" i="14"/>
  <c r="E892" i="14"/>
  <c r="E793" i="14"/>
  <c r="E794" i="14" s="1"/>
  <c r="E805" i="14"/>
  <c r="E813" i="14"/>
  <c r="E822" i="14"/>
  <c r="AF2" i="17" a="1"/>
  <c r="E2" i="24" s="1"/>
  <c r="E962" i="14"/>
  <c r="E950" i="14"/>
  <c r="E963" i="14"/>
  <c r="E964" i="14" s="1"/>
  <c r="E961" i="14"/>
  <c r="C2" i="14" a="1"/>
  <c r="E894" i="14" l="1"/>
  <c r="E897" i="14" s="1"/>
  <c r="E823" i="14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06" i="14"/>
  <c r="E910" i="14" s="1"/>
  <c r="E898" i="14" l="1"/>
  <c r="E899" i="14" s="1"/>
  <c r="E828" i="14"/>
  <c r="E827" i="14"/>
  <c r="E911" i="14"/>
  <c r="E912" i="14" s="1"/>
  <c r="E800" i="14"/>
  <c r="E814" i="14"/>
  <c r="E829" i="14" l="1"/>
  <c r="E830" i="14" s="1"/>
  <c r="E852" i="14"/>
  <c r="E901" i="14"/>
  <c r="E801" i="14"/>
  <c r="E834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04" i="14" l="1"/>
  <c r="E831" i="14"/>
  <c r="E802" i="14"/>
  <c r="E824" i="14" s="1"/>
  <c r="E835" i="14"/>
  <c r="E867" i="14"/>
  <c r="E868" i="14" l="1"/>
  <c r="E875" i="14" s="1"/>
  <c r="E905" i="14"/>
  <c r="E980" i="14" s="1"/>
  <c r="E836" i="14"/>
  <c r="E82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l="1"/>
  <c r="E890" i="14" l="1"/>
  <c r="E893" i="14" s="1"/>
  <c r="E891" i="14"/>
  <c r="E895" i="14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l="1"/>
  <c r="E936" i="14" s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 s="1"/>
  <c r="E982" i="14" s="1"/>
  <c r="E983" i="14" s="1"/>
  <c r="E984" i="14" s="1"/>
  <c r="E985" i="14" s="1"/>
  <c r="AF932" i="17" a="1"/>
  <c r="E889" i="24"/>
  <c r="E897" i="24"/>
  <c r="E884" i="24"/>
  <c r="E903" i="24"/>
  <c r="E893" i="24"/>
  <c r="E905" i="24"/>
  <c r="V562" i="17"/>
  <c r="V923" i="17"/>
  <c r="V874" i="17"/>
  <c r="V868" i="17"/>
  <c r="V4" i="17"/>
  <c r="V11" i="17"/>
  <c r="V26" i="17"/>
  <c r="V29" i="17"/>
  <c r="V41" i="17"/>
  <c r="V107" i="17"/>
  <c r="V210" i="17"/>
  <c r="V416" i="17"/>
  <c r="V575" i="17"/>
  <c r="V595" i="17"/>
  <c r="V686" i="17"/>
  <c r="V672" i="17"/>
  <c r="V464" i="17"/>
  <c r="V905" i="17"/>
  <c r="AE503" i="17"/>
  <c r="AE631" i="17"/>
  <c r="AE555" i="17"/>
  <c r="AE402" i="17"/>
  <c r="V555" i="17"/>
  <c r="V644" i="17"/>
  <c r="V652" i="17"/>
  <c r="V922" i="17"/>
  <c r="V918" i="17"/>
  <c r="V915" i="17"/>
  <c r="V910" i="17"/>
  <c r="V893" i="17"/>
  <c r="V881" i="17"/>
  <c r="V875" i="17"/>
  <c r="V803" i="17"/>
  <c r="V14" i="17"/>
  <c r="V28" i="17"/>
  <c r="V37" i="17"/>
  <c r="V49" i="17"/>
  <c r="V113" i="17"/>
  <c r="V116" i="17"/>
  <c r="V126" i="17"/>
  <c r="V136" i="17"/>
  <c r="V144" i="17"/>
  <c r="V149" i="17"/>
  <c r="V157" i="17"/>
  <c r="V166" i="17"/>
  <c r="V173" i="17"/>
  <c r="V177" i="17"/>
  <c r="V194" i="17"/>
  <c r="V208" i="17"/>
  <c r="V216" i="17"/>
  <c r="V227" i="17"/>
  <c r="V543" i="17"/>
  <c r="V712" i="17"/>
  <c r="V635" i="17"/>
  <c r="V391" i="17"/>
  <c r="V740" i="17"/>
  <c r="V953" i="17"/>
  <c r="V946" i="17"/>
  <c r="AE507" i="17"/>
  <c r="AE476" i="17"/>
  <c r="AE634" i="17"/>
  <c r="AE593" i="17"/>
  <c r="AE579" i="17"/>
  <c r="AE378" i="17"/>
  <c r="AE16" i="17"/>
  <c r="AE210" i="17"/>
  <c r="AE15" i="17"/>
  <c r="AE11" i="17"/>
  <c r="V627" i="17"/>
  <c r="V683" i="17"/>
  <c r="V970" i="17"/>
  <c r="V434" i="17"/>
  <c r="V541" i="17"/>
  <c r="V566" i="17"/>
  <c r="V641" i="17"/>
  <c r="V724" i="17"/>
  <c r="V967" i="17"/>
  <c r="V792" i="17"/>
  <c r="V455" i="17"/>
  <c r="AE495" i="17"/>
  <c r="AE508" i="17"/>
  <c r="AE661" i="17"/>
  <c r="AE651" i="17"/>
  <c r="AE613" i="17"/>
  <c r="AE606" i="17"/>
  <c r="AE581" i="17"/>
  <c r="AE575" i="17"/>
  <c r="AE564" i="17"/>
  <c r="AE160" i="17"/>
  <c r="AE117" i="17"/>
  <c r="AE79" i="17"/>
  <c r="AE21" i="17"/>
  <c r="AE17" i="17"/>
  <c r="V349" i="17"/>
  <c r="V368" i="17"/>
  <c r="V387" i="17"/>
  <c r="V426" i="17"/>
  <c r="V449" i="17"/>
  <c r="V572" i="17"/>
  <c r="V592" i="17"/>
  <c r="V606" i="17"/>
  <c r="V932" i="17"/>
  <c r="V927" i="17"/>
  <c r="V924" i="17"/>
  <c r="V900" i="17"/>
  <c r="V892" i="17"/>
  <c r="V880" i="17"/>
  <c r="V866" i="17"/>
  <c r="V856" i="17"/>
  <c r="V851" i="17"/>
  <c r="V843" i="17"/>
  <c r="V817" i="17"/>
  <c r="V805" i="17"/>
  <c r="V534" i="17"/>
  <c r="V507" i="17"/>
  <c r="V501" i="17"/>
  <c r="V482" i="17"/>
  <c r="V474" i="17"/>
  <c r="V10" i="17"/>
  <c r="V8" i="17"/>
  <c r="V23" i="17"/>
  <c r="V31" i="17"/>
  <c r="V46" i="17"/>
  <c r="V53" i="17"/>
  <c r="V111" i="17"/>
  <c r="V117" i="17"/>
  <c r="V131" i="17"/>
  <c r="V138" i="17"/>
  <c r="V156" i="17"/>
  <c r="V163" i="17"/>
  <c r="V175" i="17"/>
  <c r="V182" i="17"/>
  <c r="V192" i="17"/>
  <c r="V199" i="17"/>
  <c r="V206" i="17"/>
  <c r="V219" i="17"/>
  <c r="V230" i="17"/>
  <c r="V235" i="17"/>
  <c r="V251" i="17"/>
  <c r="V259" i="17"/>
  <c r="V280" i="17"/>
  <c r="V290" i="17"/>
  <c r="V311" i="17"/>
  <c r="V319" i="17"/>
  <c r="V352" i="17"/>
  <c r="V357" i="17"/>
  <c r="V403" i="17"/>
  <c r="V408" i="17"/>
  <c r="V446" i="17"/>
  <c r="V547" i="17"/>
  <c r="V659" i="17"/>
  <c r="V774" i="17"/>
  <c r="V785" i="17"/>
  <c r="V448" i="17"/>
  <c r="V563" i="17"/>
  <c r="V604" i="17"/>
  <c r="V654" i="17"/>
  <c r="V738" i="17"/>
  <c r="V766" i="17"/>
  <c r="V948" i="17"/>
  <c r="V556" i="17"/>
  <c r="V518" i="17"/>
  <c r="V460" i="17"/>
  <c r="AE770" i="17"/>
  <c r="AE520" i="17"/>
  <c r="AE414" i="17"/>
  <c r="AE611" i="17"/>
  <c r="AE557" i="17"/>
  <c r="AE554" i="17"/>
  <c r="AE23" i="17"/>
  <c r="AE7" i="17"/>
  <c r="AE220" i="17"/>
  <c r="AE204" i="17"/>
  <c r="AE183" i="17"/>
  <c r="AE149" i="17"/>
  <c r="AE136" i="17"/>
  <c r="AE122" i="17"/>
  <c r="AE4" i="17"/>
  <c r="V345" i="17"/>
  <c r="V373" i="17"/>
  <c r="V382" i="17"/>
  <c r="V411" i="17"/>
  <c r="V441" i="17"/>
  <c r="V565" i="17"/>
  <c r="V589" i="17"/>
  <c r="V632" i="17"/>
  <c r="V648" i="17"/>
  <c r="V670" i="17"/>
  <c r="V705" i="17"/>
  <c r="V723" i="17"/>
  <c r="V742" i="17"/>
  <c r="V933" i="17"/>
  <c r="V921" i="17"/>
  <c r="V914" i="17"/>
  <c r="V912" i="17"/>
  <c r="V906" i="17"/>
  <c r="V896" i="17"/>
  <c r="V890" i="17"/>
  <c r="V882" i="17"/>
  <c r="V877" i="17"/>
  <c r="V869" i="17"/>
  <c r="V863" i="17"/>
  <c r="V860" i="17"/>
  <c r="V848" i="17"/>
  <c r="V798" i="17"/>
  <c r="V552" i="17"/>
  <c r="V532" i="17"/>
  <c r="V502" i="17"/>
  <c r="V497" i="17"/>
  <c r="V490" i="17"/>
  <c r="V471" i="17"/>
  <c r="V316" i="17"/>
  <c r="V6" i="17"/>
  <c r="V17" i="17"/>
  <c r="V36" i="17"/>
  <c r="V45" i="17"/>
  <c r="V115" i="17"/>
  <c r="V128" i="17"/>
  <c r="V141" i="17"/>
  <c r="V147" i="17"/>
  <c r="V155" i="17"/>
  <c r="V180" i="17"/>
  <c r="V188" i="17"/>
  <c r="V195" i="17"/>
  <c r="V204" i="17"/>
  <c r="V225" i="17"/>
  <c r="V232" i="17"/>
  <c r="V243" i="17"/>
  <c r="V252" i="17"/>
  <c r="V263" i="17"/>
  <c r="V276" i="17"/>
  <c r="V284" i="17"/>
  <c r="V298" i="17"/>
  <c r="V306" i="17"/>
  <c r="V320" i="17"/>
  <c r="V332" i="17"/>
  <c r="V350" i="17"/>
  <c r="V360" i="17"/>
  <c r="V367" i="17"/>
  <c r="V381" i="17"/>
  <c r="V392" i="17"/>
  <c r="V402" i="17"/>
  <c r="V413" i="17"/>
  <c r="V437" i="17"/>
  <c r="V540" i="17"/>
  <c r="V578" i="17"/>
  <c r="V597" i="17"/>
  <c r="V613" i="17"/>
  <c r="V634" i="17"/>
  <c r="V643" i="17"/>
  <c r="V651" i="17"/>
  <c r="V671" i="17"/>
  <c r="V684" i="17"/>
  <c r="V706" i="17"/>
  <c r="V610" i="17"/>
  <c r="V639" i="17"/>
  <c r="V650" i="17"/>
  <c r="V694" i="17"/>
  <c r="V721" i="17"/>
  <c r="V561" i="17"/>
  <c r="V616" i="17"/>
  <c r="V646" i="17"/>
  <c r="V660" i="17"/>
  <c r="V666" i="17"/>
  <c r="V708" i="17"/>
  <c r="V736" i="17"/>
  <c r="V878" i="17"/>
  <c r="V405" i="17"/>
  <c r="V525" i="17"/>
  <c r="V538" i="17"/>
  <c r="V509" i="17"/>
  <c r="V468" i="17"/>
  <c r="V459" i="17"/>
  <c r="V872" i="17"/>
  <c r="V456" i="17"/>
  <c r="AE166" i="17"/>
  <c r="AE155" i="17"/>
  <c r="AE125" i="17"/>
  <c r="V968" i="17"/>
  <c r="V938" i="17"/>
  <c r="V871" i="17"/>
  <c r="V754" i="17"/>
  <c r="V154" i="17"/>
  <c r="V682" i="17"/>
  <c r="V719" i="17"/>
  <c r="V759" i="17"/>
  <c r="V937" i="17"/>
  <c r="V930" i="17"/>
  <c r="V917" i="17"/>
  <c r="V911" i="17"/>
  <c r="V902" i="17"/>
  <c r="V888" i="17"/>
  <c r="V885" i="17"/>
  <c r="V864" i="17"/>
  <c r="V850" i="17"/>
  <c r="V841" i="17"/>
  <c r="V820" i="17"/>
  <c r="V802" i="17"/>
  <c r="V560" i="17"/>
  <c r="V536" i="17"/>
  <c r="V523" i="17"/>
  <c r="V135" i="17"/>
  <c r="V20" i="17"/>
  <c r="V33" i="17"/>
  <c r="V39" i="17"/>
  <c r="V43" i="17"/>
  <c r="V109" i="17"/>
  <c r="V118" i="17"/>
  <c r="V132" i="17"/>
  <c r="V159" i="17"/>
  <c r="V197" i="17"/>
  <c r="V212" i="17"/>
  <c r="V228" i="17"/>
  <c r="V267" i="17"/>
  <c r="V296" i="17"/>
  <c r="V322" i="17"/>
  <c r="V343" i="17"/>
  <c r="V410" i="17"/>
  <c r="V423" i="17"/>
  <c r="V551" i="17"/>
  <c r="V583" i="17"/>
  <c r="V680" i="17"/>
  <c r="V704" i="17"/>
  <c r="V642" i="17"/>
  <c r="V718" i="17"/>
  <c r="V570" i="17"/>
  <c r="V594" i="17"/>
  <c r="V620" i="17"/>
  <c r="V511" i="17"/>
  <c r="V908" i="17"/>
  <c r="V15" i="17"/>
  <c r="V323" i="17"/>
  <c r="V397" i="17"/>
  <c r="V504" i="17"/>
  <c r="V631" i="17"/>
  <c r="V722" i="17"/>
  <c r="V621" i="17"/>
  <c r="V790" i="17"/>
  <c r="V950" i="17"/>
  <c r="AE836" i="17"/>
  <c r="AE660" i="17"/>
  <c r="AE641" i="17"/>
  <c r="AE624" i="17"/>
  <c r="AE426" i="17"/>
  <c r="AE219" i="17"/>
  <c r="AE115" i="17"/>
  <c r="AE790" i="17"/>
  <c r="AE531" i="17"/>
  <c r="AE458" i="17"/>
  <c r="AE407" i="17"/>
  <c r="AE493" i="17"/>
  <c r="AE684" i="17"/>
  <c r="AE676" i="17"/>
  <c r="AE656" i="17"/>
  <c r="AE640" i="17"/>
  <c r="AE595" i="17"/>
  <c r="AE589" i="17"/>
  <c r="AE551" i="17"/>
  <c r="AE475" i="17"/>
  <c r="AE428" i="17"/>
  <c r="AE392" i="17"/>
  <c r="AE388" i="17"/>
  <c r="AE377" i="17"/>
  <c r="AE194" i="17"/>
  <c r="AE89" i="17"/>
  <c r="AE776" i="17"/>
  <c r="AE409" i="17"/>
  <c r="AE480" i="17"/>
  <c r="AE454" i="17"/>
  <c r="AE441" i="17"/>
  <c r="AE678" i="17"/>
  <c r="AE663" i="17"/>
  <c r="AE620" i="17"/>
  <c r="AE610" i="17"/>
  <c r="AE418" i="17"/>
  <c r="AE163" i="17"/>
  <c r="AE123" i="17"/>
  <c r="AE97" i="17"/>
  <c r="AE24" i="17"/>
  <c r="AE13" i="17"/>
  <c r="AE6" i="17"/>
  <c r="V438" i="17"/>
  <c r="V615" i="17"/>
  <c r="V928" i="17"/>
  <c r="V27" i="17"/>
  <c r="V425" i="17"/>
  <c r="V959" i="17"/>
  <c r="AE502" i="17"/>
  <c r="AE471" i="17"/>
  <c r="AE83" i="17"/>
  <c r="AE68" i="17"/>
  <c r="V737" i="17"/>
  <c r="V935" i="17"/>
  <c r="V903" i="17"/>
  <c r="V120" i="17"/>
  <c r="V419" i="17"/>
  <c r="V442" i="17"/>
  <c r="V656" i="17"/>
  <c r="V690" i="17"/>
  <c r="V780" i="17"/>
  <c r="AE782" i="17"/>
  <c r="AE645" i="17"/>
  <c r="AE571" i="17"/>
  <c r="AE398" i="17"/>
  <c r="AE171" i="17"/>
  <c r="AE80" i="17"/>
  <c r="V732" i="17"/>
  <c r="V512" i="17"/>
  <c r="AE511" i="17"/>
  <c r="AE535" i="17"/>
  <c r="AE628" i="17"/>
  <c r="AE145" i="17"/>
  <c r="AE137" i="17"/>
  <c r="V964" i="17"/>
  <c r="V956" i="17"/>
  <c r="V976" i="17"/>
  <c r="V973" i="17"/>
  <c r="V963" i="17"/>
  <c r="V962" i="17"/>
  <c r="V958" i="17"/>
  <c r="V954" i="17"/>
  <c r="V965" i="17"/>
  <c r="V951" i="17"/>
  <c r="V949" i="17"/>
  <c r="V947" i="17"/>
  <c r="V944" i="17"/>
  <c r="V943" i="17"/>
  <c r="V942" i="17"/>
  <c r="V941" i="17"/>
  <c r="V940" i="17"/>
  <c r="V325" i="17"/>
  <c r="V327" i="17"/>
  <c r="V329" i="17"/>
  <c r="V333" i="17"/>
  <c r="V336" i="17"/>
  <c r="V339" i="17"/>
  <c r="V364" i="17"/>
  <c r="V377" i="17"/>
  <c r="V399" i="17"/>
  <c r="V417" i="17"/>
  <c r="V433" i="17"/>
  <c r="V528" i="17"/>
  <c r="V587" i="17"/>
  <c r="V598" i="17"/>
  <c r="V667" i="17"/>
  <c r="V699" i="17"/>
  <c r="V733" i="17"/>
  <c r="V749" i="17"/>
  <c r="V762" i="17"/>
  <c r="V925" i="17"/>
  <c r="V920" i="17"/>
  <c r="V913" i="17"/>
  <c r="V904" i="17"/>
  <c r="V898" i="17"/>
  <c r="V895" i="17"/>
  <c r="V889" i="17"/>
  <c r="V886" i="17"/>
  <c r="V884" i="17"/>
  <c r="V870" i="17"/>
  <c r="V862" i="17"/>
  <c r="V858" i="17"/>
  <c r="V854" i="17"/>
  <c r="V847" i="17"/>
  <c r="V813" i="17"/>
  <c r="V548" i="17"/>
  <c r="V529" i="17"/>
  <c r="V516" i="17"/>
  <c r="V513" i="17"/>
  <c r="V499" i="17"/>
  <c r="V484" i="17"/>
  <c r="V480" i="17"/>
  <c r="V472" i="17"/>
  <c r="V465" i="17"/>
  <c r="V88" i="17"/>
  <c r="V2" i="17"/>
  <c r="V13" i="17"/>
  <c r="V21" i="17"/>
  <c r="V51" i="17"/>
  <c r="V129" i="17"/>
  <c r="V140" i="17"/>
  <c r="V161" i="17"/>
  <c r="V168" i="17"/>
  <c r="V172" i="17"/>
  <c r="V179" i="17"/>
  <c r="V186" i="17"/>
  <c r="V214" i="17"/>
  <c r="V237" i="17"/>
  <c r="V249" i="17"/>
  <c r="V258" i="17"/>
  <c r="V268" i="17"/>
  <c r="V273" i="17"/>
  <c r="V288" i="17"/>
  <c r="V300" i="17"/>
  <c r="V313" i="17"/>
  <c r="V326" i="17"/>
  <c r="V341" i="17"/>
  <c r="V347" i="17"/>
  <c r="V356" i="17"/>
  <c r="V365" i="17"/>
  <c r="V393" i="17"/>
  <c r="V418" i="17"/>
  <c r="V435" i="17"/>
  <c r="V569" i="17"/>
  <c r="V600" i="17"/>
  <c r="V637" i="17"/>
  <c r="V649" i="17"/>
  <c r="V668" i="17"/>
  <c r="V677" i="17"/>
  <c r="V693" i="17"/>
  <c r="V710" i="17"/>
  <c r="V717" i="17"/>
  <c r="V731" i="17"/>
  <c r="V608" i="17"/>
  <c r="V624" i="17"/>
  <c r="V645" i="17"/>
  <c r="V669" i="17"/>
  <c r="V697" i="17"/>
  <c r="V714" i="17"/>
  <c r="V778" i="17"/>
  <c r="V452" i="17"/>
  <c r="V571" i="17"/>
  <c r="V585" i="17"/>
  <c r="V628" i="17"/>
  <c r="V636" i="17"/>
  <c r="V685" i="17"/>
  <c r="V698" i="17"/>
  <c r="V743" i="17"/>
  <c r="V756" i="17"/>
  <c r="V786" i="17"/>
  <c r="V873" i="17"/>
  <c r="V957" i="17"/>
  <c r="AE976" i="17"/>
  <c r="V519" i="17"/>
  <c r="V481" i="17"/>
  <c r="V461" i="17"/>
  <c r="V453" i="17"/>
  <c r="AE943" i="17"/>
  <c r="AE969" i="17"/>
  <c r="AE946" i="17"/>
  <c r="AE960" i="17"/>
  <c r="AE959" i="17"/>
  <c r="AE971" i="17"/>
  <c r="AE833" i="17"/>
  <c r="AE831" i="17"/>
  <c r="AE825" i="17"/>
  <c r="AE817" i="17"/>
  <c r="AE812" i="17"/>
  <c r="AE808" i="17"/>
  <c r="AE801" i="17"/>
  <c r="AE785" i="17"/>
  <c r="AE538" i="17"/>
  <c r="AE525" i="17"/>
  <c r="AE512" i="17"/>
  <c r="AE449" i="17"/>
  <c r="AE793" i="17"/>
  <c r="AE777" i="17"/>
  <c r="AE514" i="17"/>
  <c r="AE497" i="17"/>
  <c r="AE482" i="17"/>
  <c r="AE473" i="17"/>
  <c r="AE446" i="17"/>
  <c r="AE944" i="17"/>
  <c r="AE925" i="17"/>
  <c r="AE919" i="17"/>
  <c r="AE912" i="17"/>
  <c r="AE907" i="17"/>
  <c r="AE904" i="17"/>
  <c r="AE896" i="17"/>
  <c r="AE880" i="17"/>
  <c r="AE875" i="17"/>
  <c r="AE872" i="17"/>
  <c r="AE863" i="17"/>
  <c r="AE677" i="17"/>
  <c r="AE673" i="17"/>
  <c r="AE670" i="17"/>
  <c r="AE668" i="17"/>
  <c r="AE665" i="17"/>
  <c r="AE662" i="17"/>
  <c r="AE652" i="17"/>
  <c r="AE644" i="17"/>
  <c r="AE627" i="17"/>
  <c r="AE622" i="17"/>
  <c r="AE609" i="17"/>
  <c r="AE604" i="17"/>
  <c r="AE600" i="17"/>
  <c r="AE597" i="17"/>
  <c r="AE591" i="17"/>
  <c r="AE584" i="17"/>
  <c r="AE580" i="17"/>
  <c r="AE568" i="17"/>
  <c r="AE556" i="17"/>
  <c r="AE553" i="17"/>
  <c r="AE549" i="17"/>
  <c r="AE543" i="17"/>
  <c r="AE445" i="17"/>
  <c r="AE440" i="17"/>
  <c r="AE410" i="17"/>
  <c r="AE403" i="17"/>
  <c r="AE393" i="17"/>
  <c r="AE387" i="17"/>
  <c r="AE379" i="17"/>
  <c r="AE376" i="17"/>
  <c r="AE9" i="17"/>
  <c r="AE217" i="17"/>
  <c r="AE214" i="17"/>
  <c r="AE195" i="17"/>
  <c r="AE192" i="17"/>
  <c r="AE181" i="17"/>
  <c r="AE173" i="17"/>
  <c r="AE167" i="17"/>
  <c r="AE165" i="17"/>
  <c r="AE161" i="17"/>
  <c r="AE153" i="17"/>
  <c r="AE146" i="17"/>
  <c r="AE141" i="17"/>
  <c r="AE135" i="17"/>
  <c r="AE132" i="17"/>
  <c r="AE126" i="17"/>
  <c r="AE119" i="17"/>
  <c r="AE102" i="17"/>
  <c r="AE98" i="17"/>
  <c r="AE69" i="17"/>
  <c r="AE47" i="17"/>
  <c r="AE40" i="17"/>
  <c r="AE31" i="17"/>
  <c r="AE22" i="17"/>
  <c r="AE8" i="17"/>
  <c r="AE530" i="17"/>
  <c r="AE515" i="17"/>
  <c r="AE491" i="17"/>
  <c r="AE415" i="17"/>
  <c r="AE803" i="17"/>
  <c r="AE536" i="17"/>
  <c r="AE506" i="17"/>
  <c r="AE457" i="17"/>
  <c r="AE928" i="17"/>
  <c r="AE924" i="17"/>
  <c r="AE918" i="17"/>
  <c r="AE901" i="17"/>
  <c r="AE898" i="17"/>
  <c r="AE888" i="17"/>
  <c r="AE878" i="17"/>
  <c r="AE686" i="17"/>
  <c r="AE675" i="17"/>
  <c r="AE667" i="17"/>
  <c r="AE664" i="17"/>
  <c r="AE658" i="17"/>
  <c r="AE653" i="17"/>
  <c r="AE648" i="17"/>
  <c r="AE643" i="17"/>
  <c r="AE637" i="17"/>
  <c r="AE632" i="17"/>
  <c r="AE626" i="17"/>
  <c r="AE617" i="17"/>
  <c r="AE612" i="17"/>
  <c r="AE594" i="17"/>
  <c r="AE590" i="17"/>
  <c r="AE572" i="17"/>
  <c r="AE567" i="17"/>
  <c r="AE562" i="17"/>
  <c r="AE547" i="17"/>
  <c r="AE542" i="17"/>
  <c r="AE435" i="17"/>
  <c r="AE399" i="17"/>
  <c r="AE394" i="17"/>
  <c r="AE389" i="17"/>
  <c r="AE382" i="17"/>
  <c r="AE374" i="17"/>
  <c r="AE18" i="17"/>
  <c r="AE223" i="17"/>
  <c r="AE211" i="17"/>
  <c r="AE208" i="17"/>
  <c r="AE199" i="17"/>
  <c r="AE190" i="17"/>
  <c r="AE176" i="17"/>
  <c r="AE168" i="17"/>
  <c r="AE156" i="17"/>
  <c r="AE151" i="17"/>
  <c r="AE142" i="17"/>
  <c r="AE138" i="17"/>
  <c r="AE121" i="17"/>
  <c r="AE105" i="17"/>
  <c r="AE101" i="17"/>
  <c r="AE95" i="17"/>
  <c r="AE93" i="17"/>
  <c r="AE82" i="17"/>
  <c r="AE43" i="17"/>
  <c r="AE19" i="17"/>
  <c r="AE2" i="17"/>
  <c r="V734" i="17"/>
  <c r="V735" i="17"/>
  <c r="V739" i="17"/>
  <c r="V741" i="17"/>
  <c r="V744" i="17"/>
  <c r="V746" i="17"/>
  <c r="V748" i="17"/>
  <c r="V750" i="17"/>
  <c r="V752" i="17"/>
  <c r="V755" i="17"/>
  <c r="V757" i="17"/>
  <c r="V758" i="17"/>
  <c r="V760" i="17"/>
  <c r="V761" i="17"/>
  <c r="V764" i="17"/>
  <c r="V768" i="17"/>
  <c r="V770" i="17"/>
  <c r="V773" i="17"/>
  <c r="V775" i="17"/>
  <c r="V777" i="17"/>
  <c r="V779" i="17"/>
  <c r="V781" i="17"/>
  <c r="V783" i="17"/>
  <c r="V787" i="17"/>
  <c r="V974" i="17"/>
  <c r="V971" i="17"/>
  <c r="V960" i="17"/>
  <c r="V955" i="17"/>
  <c r="V867" i="17"/>
  <c r="V859" i="17"/>
  <c r="V857" i="17"/>
  <c r="V855" i="17"/>
  <c r="V853" i="17"/>
  <c r="V852" i="17"/>
  <c r="V849" i="17"/>
  <c r="V846" i="17"/>
  <c r="V844" i="17"/>
  <c r="V842" i="17"/>
  <c r="V840" i="17"/>
  <c r="V838" i="17"/>
  <c r="V836" i="17"/>
  <c r="V835" i="17"/>
  <c r="V834" i="17"/>
  <c r="V833" i="17"/>
  <c r="V832" i="17"/>
  <c r="V831" i="17"/>
  <c r="V830" i="17"/>
  <c r="V829" i="17"/>
  <c r="V828" i="17"/>
  <c r="V827" i="17"/>
  <c r="V826" i="17"/>
  <c r="V824" i="17"/>
  <c r="V821" i="17"/>
  <c r="V818" i="17"/>
  <c r="V814" i="17"/>
  <c r="V812" i="17"/>
  <c r="V810" i="17"/>
  <c r="V809" i="17"/>
  <c r="V808" i="17"/>
  <c r="V806" i="17"/>
  <c r="V804" i="17"/>
  <c r="V801" i="17"/>
  <c r="V799" i="17"/>
  <c r="V797" i="17"/>
  <c r="V795" i="17"/>
  <c r="V793" i="17"/>
  <c r="V630" i="17"/>
  <c r="V622" i="17"/>
  <c r="V558" i="17"/>
  <c r="V554" i="17"/>
  <c r="V549" i="17"/>
  <c r="V545" i="17"/>
  <c r="V537" i="17"/>
  <c r="V535" i="17"/>
  <c r="V533" i="17"/>
  <c r="V527" i="17"/>
  <c r="V524" i="17"/>
  <c r="V522" i="17"/>
  <c r="V520" i="17"/>
  <c r="V517" i="17"/>
  <c r="V515" i="17"/>
  <c r="V506" i="17"/>
  <c r="V510" i="17"/>
  <c r="V503" i="17"/>
  <c r="V500" i="17"/>
  <c r="V498" i="17"/>
  <c r="V496" i="17"/>
  <c r="V494" i="17"/>
  <c r="V491" i="17"/>
  <c r="V489" i="17"/>
  <c r="V487" i="17"/>
  <c r="V485" i="17"/>
  <c r="V483" i="17"/>
  <c r="V479" i="17"/>
  <c r="V477" i="17"/>
  <c r="V475" i="17"/>
  <c r="V473" i="17"/>
  <c r="V469" i="17"/>
  <c r="V466" i="17"/>
  <c r="V462" i="17"/>
  <c r="V285" i="17"/>
  <c r="V102" i="17"/>
  <c r="V80" i="17"/>
  <c r="V3" i="17"/>
  <c r="V5" i="17"/>
  <c r="V7" i="17"/>
  <c r="V9" i="17"/>
  <c r="V12" i="17"/>
  <c r="V16" i="17"/>
  <c r="V18" i="17"/>
  <c r="V19" i="17"/>
  <c r="V22" i="17"/>
  <c r="V24" i="17"/>
  <c r="V25" i="17"/>
  <c r="V30" i="17"/>
  <c r="V32" i="17"/>
  <c r="V34" i="17"/>
  <c r="V35" i="17"/>
  <c r="V38" i="17"/>
  <c r="V40" i="17"/>
  <c r="V42" i="17"/>
  <c r="V44" i="17"/>
  <c r="V47" i="17"/>
  <c r="V48" i="17"/>
  <c r="V50" i="17"/>
  <c r="V52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1" i="17"/>
  <c r="V82" i="17"/>
  <c r="V83" i="17"/>
  <c r="V84" i="17"/>
  <c r="V85" i="17"/>
  <c r="V86" i="17"/>
  <c r="V87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3" i="17"/>
  <c r="V104" i="17"/>
  <c r="V105" i="17"/>
  <c r="V106" i="17"/>
  <c r="V108" i="17"/>
  <c r="V110" i="17"/>
  <c r="V112" i="17"/>
  <c r="V114" i="17"/>
  <c r="V119" i="17"/>
  <c r="V121" i="17"/>
  <c r="V122" i="17"/>
  <c r="V124" i="17"/>
  <c r="V125" i="17"/>
  <c r="V127" i="17"/>
  <c r="V130" i="17"/>
  <c r="V133" i="17"/>
  <c r="V134" i="17"/>
  <c r="V137" i="17"/>
  <c r="V139" i="17"/>
  <c r="V142" i="17"/>
  <c r="V143" i="17"/>
  <c r="V145" i="17"/>
  <c r="V146" i="17"/>
  <c r="V148" i="17"/>
  <c r="V150" i="17"/>
  <c r="V152" i="17"/>
  <c r="V153" i="17"/>
  <c r="V160" i="17"/>
  <c r="V162" i="17"/>
  <c r="V164" i="17"/>
  <c r="V165" i="17"/>
  <c r="V167" i="17"/>
  <c r="V169" i="17"/>
  <c r="V171" i="17"/>
  <c r="V174" i="17"/>
  <c r="V176" i="17"/>
  <c r="V178" i="17"/>
  <c r="V181" i="17"/>
  <c r="V183" i="17"/>
  <c r="V185" i="17"/>
  <c r="V187" i="17"/>
  <c r="V189" i="17"/>
  <c r="V191" i="17"/>
  <c r="V193" i="17"/>
  <c r="V196" i="17"/>
  <c r="V198" i="17"/>
  <c r="V200" i="17"/>
  <c r="V201" i="17"/>
  <c r="V203" i="17"/>
  <c r="V205" i="17"/>
  <c r="V207" i="17"/>
  <c r="V209" i="17"/>
  <c r="V211" i="17"/>
  <c r="V213" i="17"/>
  <c r="V215" i="17"/>
  <c r="V217" i="17"/>
  <c r="V218" i="17"/>
  <c r="V220" i="17"/>
  <c r="V221" i="17"/>
  <c r="V223" i="17"/>
  <c r="V224" i="17"/>
  <c r="V226" i="17"/>
  <c r="V229" i="17"/>
  <c r="V231" i="17"/>
  <c r="V233" i="17"/>
  <c r="V234" i="17"/>
  <c r="V236" i="17"/>
  <c r="V238" i="17"/>
  <c r="V240" i="17"/>
  <c r="V241" i="17"/>
  <c r="V242" i="17"/>
  <c r="V244" i="17"/>
  <c r="V246" i="17"/>
  <c r="V248" i="17"/>
  <c r="V250" i="17"/>
  <c r="V253" i="17"/>
  <c r="V255" i="17"/>
  <c r="V257" i="17"/>
  <c r="V260" i="17"/>
  <c r="V261" i="17"/>
  <c r="V262" i="17"/>
  <c r="V264" i="17"/>
  <c r="V266" i="17"/>
  <c r="V269" i="17"/>
  <c r="V271" i="17"/>
  <c r="V275" i="17"/>
  <c r="V277" i="17"/>
  <c r="V279" i="17"/>
  <c r="V282" i="17"/>
  <c r="V283" i="17"/>
  <c r="V286" i="17"/>
  <c r="V287" i="17"/>
  <c r="V289" i="17"/>
  <c r="V291" i="17"/>
  <c r="V293" i="17"/>
  <c r="V294" i="17"/>
  <c r="V299" i="17"/>
  <c r="V301" i="17"/>
  <c r="V303" i="17"/>
  <c r="V305" i="17"/>
  <c r="V307" i="17"/>
  <c r="V308" i="17"/>
  <c r="V309" i="17"/>
  <c r="V310" i="17"/>
  <c r="V312" i="17"/>
  <c r="V314" i="17"/>
  <c r="V318" i="17"/>
  <c r="V321" i="17"/>
  <c r="V324" i="17"/>
  <c r="V328" i="17"/>
  <c r="V331" i="17"/>
  <c r="V335" i="17"/>
  <c r="V338" i="17"/>
  <c r="V340" i="17"/>
  <c r="V342" i="17"/>
  <c r="V344" i="17"/>
  <c r="V348" i="17"/>
  <c r="V351" i="17"/>
  <c r="V355" i="17"/>
  <c r="V359" i="17"/>
  <c r="V361" i="17"/>
  <c r="V363" i="17"/>
  <c r="V366" i="17"/>
  <c r="V369" i="17"/>
  <c r="V370" i="17"/>
  <c r="V371" i="17"/>
  <c r="V374" i="17"/>
  <c r="V376" i="17"/>
  <c r="V379" i="17"/>
  <c r="V383" i="17"/>
  <c r="V384" i="17"/>
  <c r="V386" i="17"/>
  <c r="V388" i="17"/>
  <c r="V390" i="17"/>
  <c r="V394" i="17"/>
  <c r="V396" i="17"/>
  <c r="V398" i="17"/>
  <c r="V401" i="17"/>
  <c r="V404" i="17"/>
  <c r="V409" i="17"/>
  <c r="V412" i="17"/>
  <c r="V415" i="17"/>
  <c r="V420" i="17"/>
  <c r="V424" i="17"/>
  <c r="V429" i="17"/>
  <c r="V432" i="17"/>
  <c r="V440" i="17"/>
  <c r="V443" i="17"/>
  <c r="V447" i="17"/>
  <c r="V451" i="17"/>
  <c r="V539" i="17"/>
  <c r="V544" i="17"/>
  <c r="V546" i="17"/>
  <c r="V553" i="17"/>
  <c r="V564" i="17"/>
  <c r="V568" i="17"/>
  <c r="V573" i="17"/>
  <c r="V577" i="17"/>
  <c r="V579" i="17"/>
  <c r="V582" i="17"/>
  <c r="V586" i="17"/>
  <c r="V590" i="17"/>
  <c r="V593" i="17"/>
  <c r="V596" i="17"/>
  <c r="V603" i="17"/>
  <c r="V605" i="17"/>
  <c r="V703" i="17"/>
  <c r="V771" i="17"/>
  <c r="V431" i="17"/>
  <c r="V612" i="17"/>
  <c r="V457" i="17"/>
  <c r="AE952" i="17"/>
  <c r="AE945" i="17"/>
  <c r="AE968" i="17"/>
  <c r="AE938" i="17"/>
  <c r="AE942" i="17"/>
  <c r="AE829" i="17"/>
  <c r="AE823" i="17"/>
  <c r="AE819" i="17"/>
  <c r="AE815" i="17"/>
  <c r="AE802" i="17"/>
  <c r="AE778" i="17"/>
  <c r="AE537" i="17"/>
  <c r="AE519" i="17"/>
  <c r="AE500" i="17"/>
  <c r="AE490" i="17"/>
  <c r="AE787" i="17"/>
  <c r="AE774" i="17"/>
  <c r="AE769" i="17"/>
  <c r="AE498" i="17"/>
  <c r="AE469" i="17"/>
  <c r="AE459" i="17"/>
  <c r="AE948" i="17"/>
  <c r="AE931" i="17"/>
  <c r="AE921" i="17"/>
  <c r="AE915" i="17"/>
  <c r="AE893" i="17"/>
  <c r="AE881" i="17"/>
  <c r="AE876" i="17"/>
  <c r="AE870" i="17"/>
  <c r="AE865" i="17"/>
  <c r="AE861" i="17"/>
  <c r="AE681" i="17"/>
  <c r="AE679" i="17"/>
  <c r="AE674" i="17"/>
  <c r="AE672" i="17"/>
  <c r="AE669" i="17"/>
  <c r="AE647" i="17"/>
  <c r="AE639" i="17"/>
  <c r="AE629" i="17"/>
  <c r="AE625" i="17"/>
  <c r="AE615" i="17"/>
  <c r="AE614" i="17"/>
  <c r="AE608" i="17"/>
  <c r="AE601" i="17"/>
  <c r="AE573" i="17"/>
  <c r="AE566" i="17"/>
  <c r="AE560" i="17"/>
  <c r="AE552" i="17"/>
  <c r="AE550" i="17"/>
  <c r="AE463" i="17"/>
  <c r="AE432" i="17"/>
  <c r="AE425" i="17"/>
  <c r="AE404" i="17"/>
  <c r="AE395" i="17"/>
  <c r="AE391" i="17"/>
  <c r="AE390" i="17"/>
  <c r="AE375" i="17"/>
  <c r="AE372" i="17"/>
  <c r="AE370" i="17"/>
  <c r="AE222" i="17"/>
  <c r="AE206" i="17"/>
  <c r="AE203" i="17"/>
  <c r="AE201" i="17"/>
  <c r="AE189" i="17"/>
  <c r="AE185" i="17"/>
  <c r="AE179" i="17"/>
  <c r="AE175" i="17"/>
  <c r="AE172" i="17"/>
  <c r="AE170" i="17"/>
  <c r="AE158" i="17"/>
  <c r="AE148" i="17"/>
  <c r="AE139" i="17"/>
  <c r="AE134" i="17"/>
  <c r="AE118" i="17"/>
  <c r="AE110" i="17"/>
  <c r="AE42" i="17"/>
  <c r="AE35" i="17"/>
  <c r="AE29" i="17"/>
  <c r="AE10" i="17"/>
  <c r="AE5" i="17"/>
  <c r="V427" i="17"/>
  <c r="V633" i="17"/>
  <c r="V753" i="17"/>
  <c r="AE783" i="17"/>
  <c r="AE474" i="17"/>
  <c r="AE906" i="17"/>
  <c r="AE630" i="17"/>
  <c r="AE569" i="17"/>
  <c r="AE182" i="17"/>
  <c r="AE65" i="17"/>
  <c r="AE859" i="17"/>
  <c r="AE858" i="17"/>
  <c r="AE857" i="17"/>
  <c r="AE856" i="17"/>
  <c r="AE855" i="17"/>
  <c r="AE854" i="17"/>
  <c r="AE853" i="17"/>
  <c r="AE852" i="17"/>
  <c r="AE851" i="17"/>
  <c r="AE850" i="17"/>
  <c r="AE849" i="17"/>
  <c r="AE848" i="17"/>
  <c r="AE847" i="17"/>
  <c r="AE846" i="17"/>
  <c r="AE845" i="17"/>
  <c r="AE844" i="17"/>
  <c r="AE843" i="17"/>
  <c r="AE842" i="17"/>
  <c r="AE841" i="17"/>
  <c r="AE840" i="17"/>
  <c r="AE839" i="17"/>
  <c r="AE838" i="17"/>
  <c r="AE837" i="17"/>
  <c r="AE816" i="17"/>
  <c r="AE809" i="17"/>
  <c r="AE807" i="17"/>
  <c r="AE806" i="17"/>
  <c r="AE804" i="17"/>
  <c r="AE800" i="17"/>
  <c r="AE799" i="17"/>
  <c r="AE798" i="17"/>
  <c r="AE797" i="17"/>
  <c r="AE795" i="17"/>
  <c r="AE791" i="17"/>
  <c r="AE786" i="17"/>
  <c r="AE784" i="17"/>
  <c r="AE780" i="17"/>
  <c r="AE775" i="17"/>
  <c r="AE773" i="17"/>
  <c r="AE534" i="17"/>
  <c r="AE533" i="17"/>
  <c r="AE532" i="17"/>
  <c r="AE529" i="17"/>
  <c r="AE526" i="17"/>
  <c r="AE523" i="17"/>
  <c r="AE522" i="17"/>
  <c r="AE521" i="17"/>
  <c r="AE517" i="17"/>
  <c r="AE513" i="17"/>
  <c r="AE509" i="17"/>
  <c r="AE504" i="17"/>
  <c r="AE501" i="17"/>
  <c r="AE499" i="17"/>
  <c r="AE494" i="17"/>
  <c r="AE489" i="17"/>
  <c r="AE488" i="17"/>
  <c r="AE486" i="17"/>
  <c r="AE485" i="17"/>
  <c r="AE484" i="17"/>
  <c r="AE479" i="17"/>
  <c r="AE472" i="17"/>
  <c r="AE468" i="17"/>
  <c r="AE465" i="17"/>
  <c r="AE461" i="17"/>
  <c r="AE455" i="17"/>
  <c r="AE451" i="17"/>
  <c r="AE447" i="17"/>
  <c r="AE444" i="17"/>
  <c r="AE439" i="17"/>
  <c r="AE438" i="17"/>
  <c r="AE436" i="17"/>
  <c r="AE433" i="17"/>
  <c r="AE431" i="17"/>
  <c r="AE430" i="17"/>
  <c r="AE429" i="17"/>
  <c r="AE422" i="17"/>
  <c r="AE421" i="17"/>
  <c r="AE419" i="17"/>
  <c r="AE416" i="17"/>
  <c r="AE411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5" i="17"/>
  <c r="AE215" i="17"/>
  <c r="AE369" i="17"/>
  <c r="AE368" i="17"/>
  <c r="AE367" i="17"/>
  <c r="AE366" i="17"/>
  <c r="AE365" i="17"/>
  <c r="AE364" i="17"/>
  <c r="AE363" i="17"/>
  <c r="AE362" i="17"/>
  <c r="AE361" i="17"/>
  <c r="AE360" i="17"/>
  <c r="AE359" i="17"/>
  <c r="AE358" i="17"/>
  <c r="AE357" i="17"/>
  <c r="AE356" i="17"/>
  <c r="AE355" i="17"/>
  <c r="AE354" i="17"/>
  <c r="AE353" i="17"/>
  <c r="AE352" i="17"/>
  <c r="AE351" i="17"/>
  <c r="AE350" i="17"/>
  <c r="AE349" i="17"/>
  <c r="AE348" i="17"/>
  <c r="AE347" i="17"/>
  <c r="AE346" i="17"/>
  <c r="AE345" i="17"/>
  <c r="AE344" i="17"/>
  <c r="AE343" i="17"/>
  <c r="AE342" i="17"/>
  <c r="AE341" i="17"/>
  <c r="AE340" i="17"/>
  <c r="AE339" i="17"/>
  <c r="AE338" i="17"/>
  <c r="AE337" i="17"/>
  <c r="AE336" i="17"/>
  <c r="AE335" i="17"/>
  <c r="AE334" i="17"/>
  <c r="AE333" i="17"/>
  <c r="AE332" i="17"/>
  <c r="AE331" i="17"/>
  <c r="AE330" i="17"/>
  <c r="AE329" i="17"/>
  <c r="AE328" i="17"/>
  <c r="AE327" i="17"/>
  <c r="AE326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10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1" i="17"/>
  <c r="AE290" i="17"/>
  <c r="AE289" i="17"/>
  <c r="AE288" i="17"/>
  <c r="AE287" i="17"/>
  <c r="AE286" i="17"/>
  <c r="AE285" i="17"/>
  <c r="AE284" i="17"/>
  <c r="AE283" i="17"/>
  <c r="AE282" i="17"/>
  <c r="AE281" i="17"/>
  <c r="AE280" i="17"/>
  <c r="AE279" i="17"/>
  <c r="AE278" i="17"/>
  <c r="AE277" i="17"/>
  <c r="AE276" i="17"/>
  <c r="AE275" i="17"/>
  <c r="AE274" i="17"/>
  <c r="AE273" i="17"/>
  <c r="AE272" i="17"/>
  <c r="AE271" i="17"/>
  <c r="AE270" i="17"/>
  <c r="AE269" i="17"/>
  <c r="AE268" i="17"/>
  <c r="AE267" i="17"/>
  <c r="AE266" i="17"/>
  <c r="AE265" i="17"/>
  <c r="AE264" i="17"/>
  <c r="AE263" i="17"/>
  <c r="AE262" i="17"/>
  <c r="AE261" i="17"/>
  <c r="AE260" i="17"/>
  <c r="AE259" i="17"/>
  <c r="AE258" i="17"/>
  <c r="AE257" i="17"/>
  <c r="AE256" i="17"/>
  <c r="AE255" i="17"/>
  <c r="AE254" i="17"/>
  <c r="AE253" i="17"/>
  <c r="AE252" i="17"/>
  <c r="AE251" i="17"/>
  <c r="AE250" i="17"/>
  <c r="AE249" i="17"/>
  <c r="AE248" i="17"/>
  <c r="AE247" i="17"/>
  <c r="AE246" i="17"/>
  <c r="AE245" i="17"/>
  <c r="AE244" i="17"/>
  <c r="AE243" i="17"/>
  <c r="AE242" i="17"/>
  <c r="AE241" i="17"/>
  <c r="AE240" i="17"/>
  <c r="AE239" i="17"/>
  <c r="AE238" i="17"/>
  <c r="AE237" i="17"/>
  <c r="AE236" i="17"/>
  <c r="AE235" i="17"/>
  <c r="AE234" i="17"/>
  <c r="AE233" i="17"/>
  <c r="AE232" i="17"/>
  <c r="AE231" i="17"/>
  <c r="AE230" i="17"/>
  <c r="AE229" i="17"/>
  <c r="AE228" i="17"/>
  <c r="AE227" i="17"/>
  <c r="AE226" i="17"/>
  <c r="AE225" i="17"/>
  <c r="AE224" i="17"/>
  <c r="AE90" i="17"/>
  <c r="AE87" i="17"/>
  <c r="AE86" i="17"/>
  <c r="AE85" i="17"/>
  <c r="AE84" i="17"/>
  <c r="AE78" i="17"/>
  <c r="AE77" i="17"/>
  <c r="AE76" i="17"/>
  <c r="AE73" i="17"/>
  <c r="AE72" i="17"/>
  <c r="AE71" i="17"/>
  <c r="AE67" i="17"/>
  <c r="AE66" i="17"/>
  <c r="AE62" i="17"/>
  <c r="AE61" i="17"/>
  <c r="AE58" i="17"/>
  <c r="AE56" i="17"/>
  <c r="AE55" i="17"/>
  <c r="AE54" i="17"/>
  <c r="AE53" i="17"/>
  <c r="AE52" i="17"/>
  <c r="AE51" i="17"/>
  <c r="AE50" i="17"/>
  <c r="AE49" i="17"/>
  <c r="AE48" i="17"/>
  <c r="AE46" i="17"/>
  <c r="AE44" i="17"/>
  <c r="AE38" i="17"/>
  <c r="AE36" i="17"/>
  <c r="AE34" i="17"/>
  <c r="AE32" i="17"/>
  <c r="AE28" i="17"/>
  <c r="AE147" i="17"/>
  <c r="AE143" i="17"/>
  <c r="AE106" i="17"/>
  <c r="V358" i="17"/>
  <c r="V380" i="17"/>
  <c r="V400" i="17"/>
  <c r="V422" i="17"/>
  <c r="V436" i="17"/>
  <c r="V542" i="17"/>
  <c r="V581" i="17"/>
  <c r="V602" i="17"/>
  <c r="V638" i="17"/>
  <c r="V663" i="17"/>
  <c r="V675" i="17"/>
  <c r="V695" i="17"/>
  <c r="V939" i="17"/>
  <c r="V934" i="17"/>
  <c r="V919" i="17"/>
  <c r="V916" i="17"/>
  <c r="V909" i="17"/>
  <c r="V907" i="17"/>
  <c r="V899" i="17"/>
  <c r="V897" i="17"/>
  <c r="V891" i="17"/>
  <c r="V883" i="17"/>
  <c r="V879" i="17"/>
  <c r="V825" i="17"/>
  <c r="V819" i="17"/>
  <c r="V807" i="17"/>
  <c r="V796" i="17"/>
  <c r="V531" i="17"/>
  <c r="V521" i="17"/>
  <c r="V505" i="17"/>
  <c r="V493" i="17"/>
  <c r="V476" i="17"/>
  <c r="V467" i="17"/>
  <c r="V123" i="17"/>
  <c r="V151" i="17"/>
  <c r="V158" i="17"/>
  <c r="V170" i="17"/>
  <c r="V184" i="17"/>
  <c r="V190" i="17"/>
  <c r="V202" i="17"/>
  <c r="V222" i="17"/>
  <c r="V245" i="17"/>
  <c r="V256" i="17"/>
  <c r="V270" i="17"/>
  <c r="V278" i="17"/>
  <c r="V281" i="17"/>
  <c r="V292" i="17"/>
  <c r="V297" i="17"/>
  <c r="V302" i="17"/>
  <c r="V315" i="17"/>
  <c r="V334" i="17"/>
  <c r="V346" i="17"/>
  <c r="V362" i="17"/>
  <c r="V372" i="17"/>
  <c r="V378" i="17"/>
  <c r="V395" i="17"/>
  <c r="V450" i="17"/>
  <c r="V557" i="17"/>
  <c r="V618" i="17"/>
  <c r="V626" i="17"/>
  <c r="V664" i="17"/>
  <c r="V696" i="17"/>
  <c r="V665" i="17"/>
  <c r="V692" i="17"/>
  <c r="V709" i="17"/>
  <c r="V782" i="17"/>
  <c r="V972" i="17"/>
  <c r="V444" i="17"/>
  <c r="V576" i="17"/>
  <c r="V599" i="17"/>
  <c r="V653" i="17"/>
  <c r="V676" i="17"/>
  <c r="V728" i="17"/>
  <c r="V776" i="17"/>
  <c r="V789" i="17"/>
  <c r="V945" i="17"/>
  <c r="AE975" i="17"/>
  <c r="V530" i="17"/>
  <c r="V458" i="17"/>
  <c r="V454" i="17"/>
  <c r="AE947" i="17"/>
  <c r="AE972" i="17"/>
  <c r="AE964" i="17"/>
  <c r="AE937" i="17"/>
  <c r="AE834" i="17"/>
  <c r="AE826" i="17"/>
  <c r="AE821" i="17"/>
  <c r="AE818" i="17"/>
  <c r="AE814" i="17"/>
  <c r="AE792" i="17"/>
  <c r="AE781" i="17"/>
  <c r="AE539" i="17"/>
  <c r="AE528" i="17"/>
  <c r="AE487" i="17"/>
  <c r="AE460" i="17"/>
  <c r="AE427" i="17"/>
  <c r="AE413" i="17"/>
  <c r="AE794" i="17"/>
  <c r="AE788" i="17"/>
  <c r="AE771" i="17"/>
  <c r="AE516" i="17"/>
  <c r="AE505" i="17"/>
  <c r="AE481" i="17"/>
  <c r="AE466" i="17"/>
  <c r="AE437" i="17"/>
  <c r="AE933" i="17"/>
  <c r="AE920" i="17"/>
  <c r="AE914" i="17"/>
  <c r="AE911" i="17"/>
  <c r="AE899" i="17"/>
  <c r="AE886" i="17"/>
  <c r="AE883" i="17"/>
  <c r="AE879" i="17"/>
  <c r="AE873" i="17"/>
  <c r="AE869" i="17"/>
  <c r="AE864" i="17"/>
  <c r="AE655" i="17"/>
  <c r="AE649" i="17"/>
  <c r="AE638" i="17"/>
  <c r="AE623" i="17"/>
  <c r="AE618" i="17"/>
  <c r="AE607" i="17"/>
  <c r="AE603" i="17"/>
  <c r="AE592" i="17"/>
  <c r="AE583" i="17"/>
  <c r="AE582" i="17"/>
  <c r="AE577" i="17"/>
  <c r="AE559" i="17"/>
  <c r="AE546" i="17"/>
  <c r="AE541" i="17"/>
  <c r="AE477" i="17"/>
  <c r="AE467" i="17"/>
  <c r="AE442" i="17"/>
  <c r="AE420" i="17"/>
  <c r="AE384" i="17"/>
  <c r="AE381" i="17"/>
  <c r="AE373" i="17"/>
  <c r="AE25" i="17"/>
  <c r="AE213" i="17"/>
  <c r="AE205" i="17"/>
  <c r="AE200" i="17"/>
  <c r="AE188" i="17"/>
  <c r="AE184" i="17"/>
  <c r="AE177" i="17"/>
  <c r="AE174" i="17"/>
  <c r="AE169" i="17"/>
  <c r="AE162" i="17"/>
  <c r="AE152" i="17"/>
  <c r="AE144" i="17"/>
  <c r="AE128" i="17"/>
  <c r="AE124" i="17"/>
  <c r="AE120" i="17"/>
  <c r="AE116" i="17"/>
  <c r="AE114" i="17"/>
  <c r="AE104" i="17"/>
  <c r="AE88" i="17"/>
  <c r="AE75" i="17"/>
  <c r="AE59" i="17"/>
  <c r="AE14" i="17"/>
  <c r="AE12" i="17"/>
  <c r="V354" i="17"/>
  <c r="V407" i="17"/>
  <c r="V430" i="17"/>
  <c r="V445" i="17"/>
  <c r="V611" i="17"/>
  <c r="V691" i="17"/>
  <c r="V715" i="17"/>
  <c r="V730" i="17"/>
  <c r="V751" i="17"/>
  <c r="V765" i="17"/>
  <c r="V931" i="17"/>
  <c r="V887" i="17"/>
  <c r="V865" i="17"/>
  <c r="V861" i="17"/>
  <c r="V845" i="17"/>
  <c r="V839" i="17"/>
  <c r="V823" i="17"/>
  <c r="V815" i="17"/>
  <c r="V794" i="17"/>
  <c r="V559" i="17"/>
  <c r="V526" i="17"/>
  <c r="V495" i="17"/>
  <c r="V488" i="17"/>
  <c r="V478" i="17"/>
  <c r="V239" i="17"/>
  <c r="V247" i="17"/>
  <c r="V254" i="17"/>
  <c r="V265" i="17"/>
  <c r="V272" i="17"/>
  <c r="V274" i="17"/>
  <c r="V295" i="17"/>
  <c r="V304" i="17"/>
  <c r="V317" i="17"/>
  <c r="V330" i="17"/>
  <c r="V337" i="17"/>
  <c r="V353" i="17"/>
  <c r="V385" i="17"/>
  <c r="V428" i="17"/>
  <c r="V439" i="17"/>
  <c r="V567" i="17"/>
  <c r="V601" i="17"/>
  <c r="V647" i="17"/>
  <c r="V661" i="17"/>
  <c r="V673" i="17"/>
  <c r="V689" i="17"/>
  <c r="V700" i="17"/>
  <c r="V725" i="17"/>
  <c r="V614" i="17"/>
  <c r="V655" i="17"/>
  <c r="V674" i="17"/>
  <c r="V687" i="17"/>
  <c r="V767" i="17"/>
  <c r="V788" i="17"/>
  <c r="V550" i="17"/>
  <c r="V580" i="17"/>
  <c r="V591" i="17"/>
  <c r="V688" i="17"/>
  <c r="V702" i="17"/>
  <c r="V720" i="17"/>
  <c r="V763" i="17"/>
  <c r="V791" i="17"/>
  <c r="V492" i="17"/>
  <c r="V406" i="17"/>
  <c r="V894" i="17"/>
  <c r="AE954" i="17"/>
  <c r="AE962" i="17"/>
  <c r="AE950" i="17"/>
  <c r="AE527" i="17"/>
  <c r="AE412" i="17"/>
  <c r="AE936" i="17"/>
  <c r="AE930" i="17"/>
  <c r="AE916" i="17"/>
  <c r="AE908" i="17"/>
  <c r="AE902" i="17"/>
  <c r="AE892" i="17"/>
  <c r="AE889" i="17"/>
  <c r="AE882" i="17"/>
  <c r="AE874" i="17"/>
  <c r="AE866" i="17"/>
  <c r="AE860" i="17"/>
  <c r="AE683" i="17"/>
  <c r="AE680" i="17"/>
  <c r="AE659" i="17"/>
  <c r="AE650" i="17"/>
  <c r="AE642" i="17"/>
  <c r="AE598" i="17"/>
  <c r="AE587" i="17"/>
  <c r="AE574" i="17"/>
  <c r="AE561" i="17"/>
  <c r="AE548" i="17"/>
  <c r="AE456" i="17"/>
  <c r="AE424" i="17"/>
  <c r="AE405" i="17"/>
  <c r="AE400" i="17"/>
  <c r="AE397" i="17"/>
  <c r="AE385" i="17"/>
  <c r="AE221" i="17"/>
  <c r="AE216" i="17"/>
  <c r="AE207" i="17"/>
  <c r="AE202" i="17"/>
  <c r="AE198" i="17"/>
  <c r="AE191" i="17"/>
  <c r="AE180" i="17"/>
  <c r="AE159" i="17"/>
  <c r="AE150" i="17"/>
  <c r="AE140" i="17"/>
  <c r="AE130" i="17"/>
  <c r="AE127" i="17"/>
  <c r="AE109" i="17"/>
  <c r="AE103" i="17"/>
  <c r="AE96" i="17"/>
  <c r="AE92" i="17"/>
  <c r="AE74" i="17"/>
  <c r="AE64" i="17"/>
  <c r="AE57" i="17"/>
  <c r="AE37" i="17"/>
  <c r="AE20" i="17"/>
  <c r="AE3" i="17"/>
  <c r="V975" i="17"/>
  <c r="V657" i="17"/>
  <c r="V701" i="17"/>
  <c r="V727" i="17"/>
  <c r="V421" i="17"/>
  <c r="V584" i="17"/>
  <c r="V609" i="17"/>
  <c r="V681" i="17"/>
  <c r="V772" i="17"/>
  <c r="V784" i="17"/>
  <c r="V969" i="17"/>
  <c r="V961" i="17"/>
  <c r="V952" i="17"/>
  <c r="V514" i="17"/>
  <c r="V508" i="17"/>
  <c r="V463" i="17"/>
  <c r="V822" i="17"/>
  <c r="AE955" i="17"/>
  <c r="AE967" i="17"/>
  <c r="AE970" i="17"/>
  <c r="AE939" i="17"/>
  <c r="AE827" i="17"/>
  <c r="AE822" i="17"/>
  <c r="AE813" i="17"/>
  <c r="AE789" i="17"/>
  <c r="AE540" i="17"/>
  <c r="AE510" i="17"/>
  <c r="AE483" i="17"/>
  <c r="AE417" i="17"/>
  <c r="AE772" i="17"/>
  <c r="AE470" i="17"/>
  <c r="AE462" i="17"/>
  <c r="AE448" i="17"/>
  <c r="AE423" i="17"/>
  <c r="AE949" i="17"/>
  <c r="AE929" i="17"/>
  <c r="AE913" i="17"/>
  <c r="AE900" i="17"/>
  <c r="AE890" i="17"/>
  <c r="AE887" i="17"/>
  <c r="AE884" i="17"/>
  <c r="AE868" i="17"/>
  <c r="AE862" i="17"/>
  <c r="AE682" i="17"/>
  <c r="AE657" i="17"/>
  <c r="AE646" i="17"/>
  <c r="AE635" i="17"/>
  <c r="AE621" i="17"/>
  <c r="AE599" i="17"/>
  <c r="AE586" i="17"/>
  <c r="AE578" i="17"/>
  <c r="AE565" i="17"/>
  <c r="AE558" i="17"/>
  <c r="AE545" i="17"/>
  <c r="AE464" i="17"/>
  <c r="AE434" i="17"/>
  <c r="AE408" i="17"/>
  <c r="AE401" i="17"/>
  <c r="AE27" i="17"/>
  <c r="AE212" i="17"/>
  <c r="AE133" i="17"/>
  <c r="AE129" i="17"/>
  <c r="AE113" i="17"/>
  <c r="AE112" i="17"/>
  <c r="AE107" i="17"/>
  <c r="AE100" i="17"/>
  <c r="AE91" i="17"/>
  <c r="AE70" i="17"/>
  <c r="AE63" i="17"/>
  <c r="AE26" i="17"/>
  <c r="V389" i="17"/>
  <c r="V414" i="17"/>
  <c r="V619" i="17"/>
  <c r="V658" i="17"/>
  <c r="V678" i="17"/>
  <c r="V711" i="17"/>
  <c r="V726" i="17"/>
  <c r="V745" i="17"/>
  <c r="V769" i="17"/>
  <c r="V936" i="17"/>
  <c r="V929" i="17"/>
  <c r="V876" i="17"/>
  <c r="V837" i="17"/>
  <c r="V800" i="17"/>
  <c r="V629" i="17"/>
  <c r="V486" i="17"/>
  <c r="V375" i="17"/>
  <c r="V574" i="17"/>
  <c r="V588" i="17"/>
  <c r="V623" i="17"/>
  <c r="V640" i="17"/>
  <c r="V716" i="17"/>
  <c r="V729" i="17"/>
  <c r="V617" i="17"/>
  <c r="V662" i="17"/>
  <c r="V679" i="17"/>
  <c r="V707" i="17"/>
  <c r="V713" i="17"/>
  <c r="V747" i="17"/>
  <c r="V966" i="17"/>
  <c r="AE973" i="17"/>
  <c r="V470" i="17"/>
  <c r="V816" i="17"/>
  <c r="AE966" i="17"/>
  <c r="AE961" i="17"/>
  <c r="AE956" i="17"/>
  <c r="AE963" i="17"/>
  <c r="AE951" i="17"/>
  <c r="AE830" i="17"/>
  <c r="AE824" i="17"/>
  <c r="AE820" i="17"/>
  <c r="AE810" i="17"/>
  <c r="AE443" i="17"/>
  <c r="AE796" i="17"/>
  <c r="AE496" i="17"/>
  <c r="AE450" i="17"/>
  <c r="AE932" i="17"/>
  <c r="AE923" i="17"/>
  <c r="AE909" i="17"/>
  <c r="AE905" i="17"/>
  <c r="AE897" i="17"/>
  <c r="AE636" i="17"/>
  <c r="AE633" i="17"/>
  <c r="AE616" i="17"/>
  <c r="AE605" i="17"/>
  <c r="AE596" i="17"/>
  <c r="AE588" i="17"/>
  <c r="AE585" i="17"/>
  <c r="AE563" i="17"/>
  <c r="AE544" i="17"/>
  <c r="AE452" i="17"/>
  <c r="AE386" i="17"/>
  <c r="AE383" i="17"/>
  <c r="AE380" i="17"/>
  <c r="AE187" i="17"/>
  <c r="AE157" i="17"/>
  <c r="AE154" i="17"/>
  <c r="AE131" i="17"/>
  <c r="AE111" i="17"/>
  <c r="AE108" i="17"/>
  <c r="AE99" i="17"/>
  <c r="AE94" i="17"/>
  <c r="AE81" i="17"/>
  <c r="AE60" i="17"/>
  <c r="AE41" i="17"/>
  <c r="AE33" i="17"/>
  <c r="AE30" i="17"/>
  <c r="V926" i="17"/>
  <c r="V901" i="17"/>
  <c r="V811" i="17"/>
  <c r="V607" i="17"/>
  <c r="AE974" i="17"/>
  <c r="AE953" i="17"/>
  <c r="AE958" i="17"/>
  <c r="AE965" i="17"/>
  <c r="AE396" i="17"/>
  <c r="AE218" i="17"/>
  <c r="AE197" i="17"/>
  <c r="AE186" i="17"/>
  <c r="AE178" i="17"/>
  <c r="V625" i="17"/>
  <c r="AE940" i="17"/>
  <c r="AE934" i="17"/>
  <c r="AE671" i="17"/>
  <c r="AE478" i="17"/>
  <c r="AE832" i="17"/>
  <c r="AE371" i="17"/>
  <c r="AE941" i="17"/>
  <c r="AE524" i="17"/>
  <c r="AE406" i="17"/>
  <c r="AE927" i="17"/>
  <c r="AE922" i="17"/>
  <c r="AE910" i="17"/>
  <c r="AE895" i="17"/>
  <c r="AE885" i="17"/>
  <c r="AE877" i="17"/>
  <c r="AE602" i="17"/>
  <c r="AE570" i="17"/>
  <c r="AE45" i="17"/>
  <c r="AE39" i="17"/>
  <c r="AE835" i="17"/>
  <c r="AE453" i="17"/>
  <c r="AE518" i="17"/>
  <c r="AE492" i="17"/>
  <c r="AE935" i="17"/>
  <c r="AE926" i="17"/>
  <c r="AE917" i="17"/>
  <c r="AE903" i="17"/>
  <c r="AE894" i="17"/>
  <c r="AE871" i="17"/>
  <c r="AE654" i="17"/>
  <c r="AE576" i="17"/>
  <c r="AE209" i="17"/>
  <c r="AE193" i="17"/>
  <c r="AE957" i="17"/>
  <c r="AE779" i="17"/>
  <c r="AE891" i="17"/>
  <c r="AE196" i="17"/>
  <c r="AE164" i="17"/>
  <c r="AE811" i="17"/>
  <c r="AE867" i="17"/>
  <c r="AE828" i="17"/>
  <c r="AE805" i="17"/>
  <c r="AE666" i="17"/>
  <c r="AE619" i="17"/>
  <c r="E932" i="24" l="1"/>
  <c r="E93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none have been built so far of the MS model but the alternatives are 3kV only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K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Q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R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S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U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Q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I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I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I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I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R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I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S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I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K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K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R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S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S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Q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S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S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J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P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S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S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S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S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S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S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S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S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R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S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S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S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S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S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S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S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S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S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S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S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S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X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S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X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X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X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P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S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X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I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S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X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S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X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U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X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I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S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S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X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S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I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S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X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I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X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S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S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P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Q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S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P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S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I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S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X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S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S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S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X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Q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S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I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P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S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S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P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Q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S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S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S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S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S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S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S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S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Q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S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Q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S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Q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S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Q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S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Q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S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P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P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P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S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S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S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R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S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Q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S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Q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R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S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I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S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S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S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X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Q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S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S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S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S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S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S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S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S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Q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S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S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I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I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I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I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I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I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I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I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I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I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I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I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I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I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I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I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I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I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I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I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I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I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I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I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I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I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I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I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I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I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I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I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I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I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I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I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I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I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I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I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I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I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I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I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I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I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I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I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I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R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I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P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E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R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Q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Q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Q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S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E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E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Still in operation</t>
        </r>
      </text>
    </comment>
    <comment ref="E847" authorId="0" shapeId="0" xr:uid="{9030CE41-9C60-4C31-A0D7-C91D276E8A0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Orignally AUS but reverted to the ALCO version and that's US/ALL REGION</t>
        </r>
      </text>
    </comment>
    <comment ref="S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S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S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S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S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S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S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U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S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I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I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P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Q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S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HU wiki: withdrawn "in the 70s"</t>
        </r>
      </text>
    </comment>
    <comment ref="S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S983" authorId="0" shapeId="0" xr:uid="{1A8B90BB-8FAB-4852-AC18-F3B25A0B6E2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Per Wikipedia as of 2026/06</t>
        </r>
      </text>
    </comment>
    <comment ref="P985" authorId="0" shapeId="0" xr:uid="{A37C26A5-2FB8-448A-9636-156B9A8945B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Q985" authorId="0" shapeId="0" xr:uid="{136DFDF1-3E49-467F-A6E1-7C0CD9B6879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S985" authorId="0" shapeId="0" xr:uid="{4BB6023D-FB72-4792-A116-90297A1917A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<sst xmlns="http://schemas.openxmlformats.org/spreadsheetml/2006/main" count="16797" uniqueCount="3559">
  <si>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</si>
  <si>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</si>
  <si>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</si>
  <si>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</si>
  <si>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</si>
  <si>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</si>
  <si>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</si>
  <si>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</si>
  <si>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</si>
  <si>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</si>
  <si>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</si>
  <si>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</si>
  <si>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</si>
  <si>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</si>
  <si>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</si>
  <si>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</si>
  <si>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</si>
  <si>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</si>
  <si>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</si>
  <si>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</si>
  <si>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</si>
  <si>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</si>
  <si>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</si>
  <si>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</si>
  <si>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</si>
  <si>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</si>
  <si>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</si>
  <si>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</si>
  <si>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</si>
  <si>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</si>
  <si>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</si>
  <si>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</si>
  <si>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</si>
  <si>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</si>
  <si>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</si>
  <si>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</si>
  <si>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</si>
  <si>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</si>
  <si>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</si>
  <si>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</si>
  <si>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</si>
  <si>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</si>
  <si>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</si>
  <si>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</si>
  <si>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</si>
  <si>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</si>
  <si>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</si>
  <si>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</si>
  <si>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</si>
  <si>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</si>
  <si>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</si>
  <si>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</si>
  <si>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</si>
  <si>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</si>
  <si>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</si>
  <si>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</si>
  <si>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</si>
  <si>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</si>
  <si>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</si>
  <si>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</si>
  <si>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</si>
  <si>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</si>
  <si>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</si>
  <si>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</si>
  <si>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</si>
  <si>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</si>
  <si>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</si>
  <si>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</si>
  <si>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</si>
  <si>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</si>
  <si>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</si>
  <si>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</si>
  <si>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</si>
  <si>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</si>
  <si>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</si>
  <si>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</si>
  <si>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</si>
  <si>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</si>
  <si>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</si>
  <si>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</si>
  <si>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</si>
  <si>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</si>
  <si>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</si>
  <si>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</si>
  <si>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</si>
  <si>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</si>
  <si>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</si>
  <si>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</si>
  <si>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</si>
  <si>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</si>
  <si>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</si>
  <si>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</si>
  <si>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</si>
  <si>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</si>
  <si>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</si>
  <si>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</si>
  <si>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</si>
  <si>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</si>
  <si>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</si>
  <si>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</si>
  <si>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</si>
  <si>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</si>
  <si>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</si>
  <si>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</si>
  <si>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</si>
  <si>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</si>
  <si>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</si>
  <si>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</si>
  <si>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</si>
  <si>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</si>
  <si>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</si>
  <si>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</si>
  <si>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</si>
  <si>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</si>
  <si>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</si>
  <si>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</si>
  <si>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</si>
  <si>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</si>
  <si>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</si>
  <si>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</si>
  <si>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</si>
  <si>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</si>
  <si>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</si>
  <si>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</si>
  <si>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</si>
  <si>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</si>
  <si>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</si>
  <si>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</si>
  <si>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</si>
  <si>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</si>
  <si>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</si>
  <si>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</si>
  <si>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</si>
  <si>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</si>
  <si>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</si>
  <si>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</si>
  <si>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</si>
  <si>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</si>
  <si>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</si>
  <si>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</si>
  <si>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</si>
  <si>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</si>
  <si>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</si>
  <si>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</si>
  <si>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</si>
  <si>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</si>
  <si>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</si>
  <si>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</si>
  <si>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</si>
  <si>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</si>
  <si>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</si>
  <si>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</si>
  <si>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</si>
  <si>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</si>
  <si>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</si>
  <si>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</si>
  <si>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</si>
  <si>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</si>
  <si>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</si>
  <si>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</si>
  <si>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</si>
  <si>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</si>
  <si>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</si>
  <si>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</si>
  <si>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</si>
  <si>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</si>
  <si>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</si>
  <si>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</si>
  <si>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</si>
  <si>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</si>
  <si>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</si>
  <si>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</si>
  <si>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</si>
  <si>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</si>
  <si>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</si>
  <si>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</si>
  <si>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</si>
  <si>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</si>
  <si>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</si>
  <si>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</si>
  <si>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</si>
  <si>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</si>
  <si>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</si>
  <si>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</si>
  <si>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</si>
  <si>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</si>
  <si>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</si>
  <si>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</si>
  <si>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</si>
  <si>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</si>
  <si>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</si>
  <si>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</si>
  <si>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</si>
  <si>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</si>
  <si>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</si>
  <si>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</si>
  <si>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</si>
  <si>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</si>
  <si>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</si>
  <si>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</si>
  <si>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</si>
  <si>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</si>
  <si>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</si>
  <si>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</si>
  <si>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</si>
  <si>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</si>
  <si>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</si>
  <si>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</si>
  <si>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</si>
  <si>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</si>
  <si>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</si>
  <si>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</si>
  <si>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</si>
  <si>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</si>
  <si>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</si>
  <si>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</si>
  <si>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</si>
  <si>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</si>
  <si>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</si>
  <si>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</si>
  <si>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</si>
  <si>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</si>
  <si>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</si>
  <si>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</si>
  <si>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</si>
  <si>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</si>
  <si>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</si>
  <si>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</si>
  <si>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</si>
  <si>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</si>
  <si>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</si>
  <si>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</si>
  <si>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</si>
  <si>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</si>
  <si>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</si>
  <si>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</si>
  <si>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</si>
  <si>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</si>
  <si>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</si>
  <si>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</si>
  <si>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</si>
  <si>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</si>
  <si>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</si>
  <si>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</si>
  <si>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</si>
  <si>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</si>
  <si>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</si>
  <si>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</si>
  <si>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</si>
  <si>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</si>
  <si>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</si>
  <si>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</si>
  <si>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</si>
  <si>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</si>
  <si>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</si>
  <si>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</si>
  <si>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</si>
  <si>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</si>
  <si>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</si>
  <si>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</si>
  <si>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</si>
  <si>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</si>
  <si>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</si>
  <si>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</si>
  <si>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</si>
  <si>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</si>
  <si>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</si>
  <si>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</si>
  <si>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</si>
  <si>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</si>
  <si>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</si>
  <si>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</si>
  <si>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</si>
  <si>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</si>
  <si>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</si>
  <si>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</si>
  <si>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</si>
  <si>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</si>
  <si>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</si>
  <si>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</si>
  <si>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</si>
  <si>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</si>
  <si>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</si>
  <si>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</si>
  <si>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</si>
  <si>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</si>
  <si>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</si>
  <si>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</si>
  <si>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</si>
  <si>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</si>
  <si>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</si>
  <si>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</si>
  <si>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</si>
  <si>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</si>
  <si>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</si>
  <si>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</si>
  <si>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</si>
  <si>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</si>
  <si>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</si>
  <si>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</si>
  <si>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</si>
  <si>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</si>
  <si>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</si>
  <si>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</si>
  <si>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</si>
  <si>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</si>
  <si>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</si>
  <si>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</si>
  <si>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</si>
  <si>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</si>
  <si>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</si>
  <si>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</si>
  <si>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</si>
  <si>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</si>
  <si>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</si>
  <si>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</si>
  <si>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</si>
  <si>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</si>
  <si>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</si>
  <si>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</si>
  <si>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</si>
  <si>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</si>
  <si>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</si>
  <si>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</si>
  <si>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</si>
  <si>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</si>
  <si>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</si>
  <si>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</si>
  <si>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</si>
  <si>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</si>
  <si>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</si>
  <si>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</si>
  <si>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</si>
  <si>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</si>
  <si>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</si>
  <si>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</si>
  <si>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</si>
  <si>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</si>
  <si>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</si>
  <si>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</si>
  <si>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</si>
  <si>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</si>
  <si>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</si>
  <si>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</si>
  <si>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</si>
  <si>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</si>
  <si>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</si>
  <si>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</si>
  <si>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</si>
  <si>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</si>
  <si>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</si>
  <si>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</si>
  <si>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</si>
  <si>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</si>
  <si>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</si>
  <si>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</si>
  <si>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</si>
  <si>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</si>
  <si>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</si>
  <si>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</si>
  <si>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</si>
  <si>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</si>
  <si>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</si>
  <si>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</si>
  <si>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</si>
  <si>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</si>
  <si>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</si>
  <si>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</si>
  <si>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</si>
  <si>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</si>
  <si>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</si>
  <si>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</si>
  <si>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</si>
  <si>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</si>
  <si>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</si>
  <si>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</si>
  <si>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</si>
  <si>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</si>
  <si>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</si>
  <si>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</si>
  <si>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</si>
  <si>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</si>
  <si>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</si>
  <si>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</si>
  <si>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</si>
  <si>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</si>
  <si>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</si>
  <si>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</si>
  <si>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</si>
  <si>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</si>
  <si>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</si>
  <si>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</si>
  <si>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</si>
  <si>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</si>
  <si>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</si>
  <si>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</si>
  <si>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</si>
  <si>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</si>
  <si>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</si>
  <si>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</si>
  <si>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</si>
  <si>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</si>
  <si>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</si>
  <si>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</si>
  <si>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</si>
  <si>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</si>
  <si>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</si>
  <si>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</si>
  <si>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</si>
  <si>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</si>
  <si>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</si>
  <si>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</si>
  <si>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</si>
  <si>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</si>
  <si>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</si>
  <si>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</si>
  <si>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</si>
  <si>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</si>
  <si>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</si>
  <si>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</si>
  <si>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</si>
  <si>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</si>
  <si>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</si>
  <si>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</si>
  <si>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</si>
  <si>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</si>
  <si>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</si>
  <si>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</si>
  <si>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</si>
  <si>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</si>
  <si>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</si>
  <si>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</si>
  <si>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</si>
  <si>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</si>
  <si>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</si>
  <si>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</si>
  <si>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</si>
  <si>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</si>
  <si>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</si>
  <si>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</si>
  <si>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</si>
  <si>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</si>
  <si>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</si>
  <si>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</si>
  <si>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</si>
  <si>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</si>
  <si>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</si>
  <si>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</si>
  <si>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</si>
  <si>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</si>
  <si>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</si>
  <si>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</si>
  <si>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</si>
  <si>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</si>
  <si>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</si>
  <si>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</si>
  <si>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</si>
  <si>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</si>
  <si>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</si>
  <si>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</si>
  <si>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</si>
  <si>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</si>
  <si>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</si>
  <si>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</si>
  <si>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</si>
  <si>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</si>
  <si>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</si>
  <si>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</si>
  <si>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</si>
  <si>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</si>
  <si>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</si>
  <si>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</si>
  <si>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</si>
  <si>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</si>
  <si>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</si>
  <si>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</si>
  <si>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</si>
  <si>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</si>
  <si>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</si>
  <si>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</si>
  <si>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</si>
  <si>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</si>
  <si>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</si>
  <si>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</si>
  <si>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</si>
  <si>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</si>
  <si>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</si>
  <si>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</si>
  <si>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</si>
  <si>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</si>
  <si>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</si>
  <si>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</si>
  <si>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</si>
  <si>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</si>
  <si>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</si>
  <si>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</si>
  <si>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</si>
  <si>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</si>
  <si>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</si>
  <si>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</si>
  <si>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</si>
  <si>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</si>
  <si>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</si>
  <si>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</si>
  <si>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</si>
  <si>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</si>
  <si>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</si>
  <si>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</si>
  <si>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</si>
  <si>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</si>
  <si>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</si>
  <si>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</si>
  <si>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</si>
  <si>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</si>
  <si>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</si>
  <si>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</si>
  <si>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</si>
  <si>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</si>
  <si>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</si>
  <si>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</si>
  <si>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</si>
  <si>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</si>
  <si>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</si>
  <si>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</si>
  <si>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</si>
  <si>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</si>
  <si>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</si>
  <si>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</si>
  <si>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</si>
  <si>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</si>
  <si>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</si>
  <si>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</si>
  <si>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</si>
  <si>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</si>
  <si>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</si>
  <si>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</si>
  <si>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</si>
  <si>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</si>
  <si>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</si>
  <si>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</si>
  <si>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</si>
  <si>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</si>
  <si>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</si>
  <si>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</si>
  <si>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</si>
  <si>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</si>
  <si>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</si>
  <si>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</si>
  <si>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</si>
  <si>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</si>
  <si>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</si>
  <si>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</si>
  <si>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</si>
  <si>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</si>
  <si>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</si>
  <si>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</si>
  <si>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</si>
  <si>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</si>
  <si>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</si>
  <si>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</si>
  <si>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</si>
  <si>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</si>
  <si>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</si>
  <si>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</si>
  <si>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</si>
  <si>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</si>
  <si>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</si>
  <si>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</si>
  <si>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</si>
  <si>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</si>
  <si>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</si>
  <si>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</si>
  <si>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</si>
  <si>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</si>
  <si>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</si>
  <si>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</si>
  <si>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</si>
  <si>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</si>
  <si>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</si>
  <si>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</si>
  <si>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</si>
  <si>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</si>
  <si>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</si>
  <si>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</si>
  <si>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</si>
  <si>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</si>
  <si>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</si>
  <si>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</si>
  <si>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</si>
  <si>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</si>
  <si>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</si>
  <si>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</si>
  <si>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</si>
  <si>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</si>
  <si>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</si>
  <si>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</si>
  <si>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</si>
  <si>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</si>
  <si>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</si>
  <si>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</si>
  <si>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</si>
  <si>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</si>
  <si>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</si>
  <si>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</si>
  <si>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</si>
  <si>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</si>
  <si>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</si>
  <si>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</si>
  <si>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</si>
  <si>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</si>
  <si>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</si>
  <si>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</si>
  <si>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</si>
  <si>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</si>
  <si>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</si>
  <si>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</si>
  <si>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</si>
  <si>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</si>
  <si>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</si>
  <si>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</si>
  <si>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</si>
  <si>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</si>
  <si>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</si>
  <si>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</si>
  <si>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</si>
  <si>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</si>
  <si>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</si>
  <si>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</si>
  <si>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</si>
  <si>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</si>
  <si>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</si>
  <si>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</si>
  <si>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</si>
  <si>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</si>
  <si>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</si>
  <si>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</si>
  <si>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</si>
  <si>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</si>
  <si>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</si>
  <si>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</si>
  <si>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</si>
  <si>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</si>
  <si>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</si>
  <si>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</si>
  <si>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</si>
  <si>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</si>
  <si>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</si>
  <si>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</si>
  <si>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</si>
  <si>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</si>
  <si>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</si>
  <si>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</si>
  <si>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</si>
  <si>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</si>
  <si>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</si>
  <si>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</si>
  <si>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</si>
  <si>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</si>
  <si>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</si>
  <si>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</si>
  <si>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</si>
  <si>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</si>
  <si>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</si>
  <si>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</si>
  <si>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</si>
  <si>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</si>
  <si>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</si>
  <si>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</si>
  <si>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</si>
  <si>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</si>
  <si>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</si>
  <si>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</si>
  <si>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</si>
  <si>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</si>
  <si>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</si>
  <si>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</si>
  <si>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</si>
  <si>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</si>
  <si>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</si>
  <si>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</si>
  <si>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</si>
  <si>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</si>
  <si>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</si>
  <si>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</si>
  <si>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</si>
  <si>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</si>
  <si>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</si>
  <si>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</si>
  <si>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</si>
  <si>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</si>
  <si>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</si>
  <si>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</si>
  <si>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</si>
  <si>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</si>
  <si>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</si>
  <si>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</si>
  <si>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</si>
  <si>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</si>
  <si>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</si>
  <si>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</si>
  <si>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</si>
  <si>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</si>
  <si>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</si>
  <si>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</si>
  <si>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</si>
  <si>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</si>
  <si>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</si>
  <si>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</si>
  <si>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</si>
  <si>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</si>
  <si>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</si>
  <si>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</si>
  <si>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</si>
  <si>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</si>
  <si>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</si>
  <si>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</si>
  <si>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</si>
  <si>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</si>
  <si>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</si>
  <si>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</si>
  <si>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</si>
  <si>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</si>
  <si>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</si>
  <si>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</si>
  <si>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</si>
  <si>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</si>
  <si>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</si>
  <si>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</si>
  <si>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</si>
  <si>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</si>
  <si>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</si>
  <si>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</si>
  <si>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</si>
  <si>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</si>
  <si>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</si>
  <si>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</si>
  <si>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</si>
  <si>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</si>
  <si>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</si>
  <si>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</si>
  <si>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</si>
  <si>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</si>
  <si>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</si>
  <si>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</si>
  <si>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</si>
  <si>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</si>
  <si>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</si>
  <si>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</si>
  <si>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</si>
  <si>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</si>
  <si>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</si>
  <si>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</si>
  <si>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</si>
  <si>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</si>
  <si>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</si>
  <si>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</si>
  <si>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</si>
  <si>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</si>
  <si>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</si>
  <si>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</si>
  <si>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</si>
  <si>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</si>
  <si>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</si>
  <si>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</si>
  <si>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</si>
  <si>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</si>
  <si>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</si>
  <si>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</si>
  <si>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</si>
  <si>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</si>
  <si>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</si>
  <si>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</si>
  <si>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</si>
  <si>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</si>
  <si>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</si>
  <si>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</si>
  <si>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</si>
  <si>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</si>
  <si>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</si>
  <si>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</si>
  <si>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</si>
  <si>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</si>
  <si>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</si>
  <si>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</si>
  <si>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</si>
  <si>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</si>
  <si>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</si>
  <si>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</si>
  <si>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</si>
  <si>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</si>
  <si>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</si>
  <si>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</si>
  <si>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</si>
  <si>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</si>
  <si>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</si>
  <si>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</si>
  <si>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</si>
  <si>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</si>
  <si>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</si>
  <si>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</si>
  <si>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</si>
  <si>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</si>
  <si>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</si>
  <si>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</si>
  <si>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</si>
  <si>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</si>
  <si>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</si>
  <si>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</si>
  <si>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</si>
  <si>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</si>
  <si>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</si>
  <si>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</si>
  <si>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</si>
  <si>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</si>
  <si>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</si>
  <si>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</si>
  <si>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</si>
  <si>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</si>
  <si>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</si>
  <si>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</si>
  <si>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</si>
  <si>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</si>
  <si>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</si>
  <si>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</si>
  <si>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</si>
  <si>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</si>
  <si>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</si>
  <si>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</si>
  <si>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</si>
  <si>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</si>
  <si>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</si>
  <si>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</si>
  <si>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</si>
  <si>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</si>
  <si>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</si>
  <si>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</si>
  <si>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</si>
  <si>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</si>
  <si>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</si>
  <si>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</si>
  <si>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</si>
  <si>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</si>
  <si>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</si>
  <si>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</si>
  <si>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</si>
  <si>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</si>
  <si>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</si>
  <si>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</si>
  <si>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</si>
  <si>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</si>
  <si>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</si>
  <si>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</si>
  <si>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</si>
  <si>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</si>
  <si>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</si>
  <si>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</si>
  <si>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</si>
  <si>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</si>
  <si>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</si>
  <si>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</si>
  <si>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</si>
  <si>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</si>
  <si>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</si>
  <si>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</si>
  <si>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</si>
  <si>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</si>
  <si>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</si>
  <si>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</si>
  <si>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</si>
  <si>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</si>
  <si>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</si>
  <si>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</si>
  <si>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</si>
  <si>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</si>
  <si>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</si>
  <si>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</si>
  <si>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</si>
  <si>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</si>
  <si>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</si>
  <si>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</si>
  <si>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</si>
  <si>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</si>
  <si>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</si>
  <si>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</si>
  <si>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</si>
  <si>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</si>
  <si>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</si>
  <si>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</si>
  <si>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</si>
  <si>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</si>
  <si>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</si>
  <si>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</si>
  <si>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</si>
  <si>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</si>
  <si>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</si>
  <si>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</si>
  <si>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</si>
  <si>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</si>
  <si>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</si>
  <si>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</si>
  <si>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</si>
  <si>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</si>
  <si>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</si>
  <si>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</si>
  <si>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</si>
  <si>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</si>
  <si>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</si>
  <si>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</si>
  <si>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</si>
  <si>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</si>
  <si>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</si>
  <si>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</si>
  <si>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</si>
  <si>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</si>
  <si>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</si>
  <si>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</si>
  <si>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</si>
  <si>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</si>
  <si>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</si>
  <si>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</si>
  <si>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</si>
  <si>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</si>
  <si>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</si>
  <si>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</si>
  <si>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</si>
  <si>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</si>
  <si>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</si>
  <si>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</si>
  <si>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</si>
  <si>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</si>
  <si>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</si>
  <si>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</si>
  <si>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</si>
  <si>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</si>
  <si>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</si>
  <si>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</si>
  <si>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</si>
  <si>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</si>
  <si>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</si>
  <si>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</si>
  <si>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</si>
  <si>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</si>
  <si>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</si>
  <si>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</si>
  <si>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</si>
  <si>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</si>
  <si>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</si>
  <si>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</si>
  <si>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</si>
  <si>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</si>
  <si>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</si>
  <si>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</si>
  <si>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</si>
  <si>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</si>
  <si>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</si>
  <si>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</si>
  <si>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</si>
  <si>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</si>
  <si>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</si>
  <si>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</si>
  <si>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</si>
  <si>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</si>
  <si>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</si>
  <si>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</si>
  <si>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</si>
  <si>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</si>
  <si>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</si>
  <si>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</si>
  <si>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</si>
  <si>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</si>
  <si>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</si>
  <si>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</si>
  <si>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</si>
  <si>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</si>
  <si>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</si>
  <si>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</si>
  <si>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</si>
  <si>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</si>
  <si>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</si>
  <si>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</si>
  <si>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</si>
  <si>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</si>
  <si>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</si>
  <si>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</si>
  <si>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</si>
  <si>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</si>
  <si>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</si>
  <si>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</si>
  <si>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</si>
  <si>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</si>
  <si>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</si>
  <si>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</si>
  <si>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</si>
  <si>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</si>
  <si>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</si>
  <si>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</si>
  <si>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</si>
  <si>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</si>
  <si>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</si>
  <si>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</si>
  <si>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</si>
  <si>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</si>
  <si>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</si>
  <si>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</si>
  <si>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</si>
  <si>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</si>
  <si>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</si>
  <si>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</si>
  <si>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</si>
  <si>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</si>
  <si>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</si>
  <si>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</si>
  <si>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</si>
  <si>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</si>
  <si>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</si>
  <si>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</si>
  <si>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</si>
  <si>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</si>
  <si>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</si>
  <si>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</si>
  <si>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</si>
  <si>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</si>
  <si>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</si>
  <si>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</si>
  <si>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</si>
  <si>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</si>
  <si>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</si>
  <si>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</si>
  <si>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</si>
  <si>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</si>
  <si>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</si>
  <si>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</si>
  <si>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</si>
  <si>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</si>
  <si>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</si>
  <si>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</si>
  <si>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</si>
  <si>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</si>
  <si>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</si>
  <si>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</si>
  <si>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</si>
  <si>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</si>
  <si>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</si>
  <si>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</si>
  <si>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</si>
  <si>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</si>
  <si>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</si>
  <si>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</si>
  <si>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</si>
  <si>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</si>
  <si>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</si>
  <si>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</si>
  <si>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</si>
  <si>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</si>
  <si>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</si>
  <si>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</si>
  <si>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</si>
  <si>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</si>
  <si>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</si>
  <si>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</si>
  <si>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</si>
  <si>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</si>
  <si>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</si>
  <si>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</si>
  <si>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</si>
  <si>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</si>
  <si>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</si>
  <si>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</si>
  <si>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</si>
  <si>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</si>
  <si>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</si>
  <si>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</si>
  <si>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</si>
  <si>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</si>
  <si>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</si>
  <si>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</si>
  <si>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</si>
  <si>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</si>
  <si>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</si>
  <si>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</si>
  <si>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</si>
  <si>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</si>
  <si>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</si>
  <si>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</si>
  <si>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</si>
  <si>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</si>
  <si>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</si>
  <si>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</si>
  <si>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</si>
  <si>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</si>
  <si>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</si>
  <si>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</si>
  <si>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</si>
  <si>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</si>
  <si>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</si>
  <si>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</si>
  <si>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</si>
  <si>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</si>
  <si>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</si>
  <si>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</si>
  <si>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</si>
  <si>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</si>
  <si>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</si>
  <si>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</si>
  <si>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</si>
  <si>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</si>
  <si>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</si>
  <si>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</si>
  <si>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</si>
  <si>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</si>
  <si>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</si>
  <si>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</si>
  <si>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</si>
  <si>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</si>
  <si>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</si>
  <si>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</si>
  <si>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</si>
  <si>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</si>
  <si>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</si>
  <si>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</si>
  <si>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</si>
  <si>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</si>
  <si>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</si>
  <si>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</si>
  <si>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</si>
  <si>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</si>
  <si>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</si>
  <si>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</si>
  <si>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</si>
  <si>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</si>
  <si>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</si>
  <si>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</si>
  <si>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</si>
  <si>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</si>
  <si>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</si>
  <si>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</si>
  <si>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</si>
  <si>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</si>
  <si>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</si>
  <si>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</si>
  <si>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</si>
  <si>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</si>
  <si>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</si>
  <si>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</si>
  <si>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</si>
  <si>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</si>
  <si>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</si>
  <si>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</si>
  <si>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</si>
  <si>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</si>
  <si>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</si>
  <si>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</si>
  <si>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</si>
  <si>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</si>
  <si>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</si>
  <si>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</si>
  <si>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</si>
  <si>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</si>
  <si>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</si>
  <si>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</si>
  <si>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</si>
  <si>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</si>
  <si>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</si>
  <si>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</si>
  <si>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</si>
  <si>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</si>
  <si>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</si>
  <si>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</si>
  <si>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</si>
  <si>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</si>
  <si>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</si>
  <si>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</si>
  <si>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</si>
  <si>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</si>
  <si>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</si>
  <si>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</si>
  <si>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</si>
  <si>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</si>
  <si>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</si>
  <si>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</si>
  <si>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</si>
  <si>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</si>
  <si>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</si>
  <si>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</si>
  <si>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</si>
  <si>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</si>
  <si>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</si>
  <si>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</si>
  <si>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</si>
  <si>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</si>
  <si>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</si>
  <si>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</si>
  <si>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</si>
  <si>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</si>
  <si>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</si>
  <si>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</si>
  <si>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</si>
  <si>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</si>
  <si>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</si>
  <si>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</si>
  <si>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</si>
  <si>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</si>
  <si>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</si>
  <si>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</si>
  <si>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</si>
  <si>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</si>
  <si>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</si>
  <si>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</si>
  <si>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</si>
  <si>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</si>
  <si>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</si>
  <si>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</si>
  <si>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</si>
  <si>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</si>
  <si>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</si>
  <si>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</si>
  <si>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</si>
  <si>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</si>
  <si>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</si>
  <si>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</si>
  <si>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</si>
  <si>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</si>
  <si>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</si>
  <si>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</si>
  <si>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</si>
  <si>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</si>
  <si>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</si>
  <si>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</si>
  <si>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</si>
  <si>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</si>
  <si>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</si>
  <si>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</si>
  <si>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</si>
  <si>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</si>
  <si>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</si>
  <si>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</si>
  <si>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</si>
  <si>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</si>
  <si>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</si>
  <si>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</si>
  <si>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</si>
  <si>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</si>
  <si>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</si>
  <si>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</si>
  <si>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</si>
  <si>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</si>
  <si>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</si>
  <si>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</si>
  <si>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</si>
  <si>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</si>
  <si>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</si>
  <si>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</si>
  <si>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</si>
  <si>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</si>
  <si>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</si>
  <si>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</si>
  <si>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</si>
  <si>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</si>
  <si>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</si>
  <si>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</si>
  <si>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</si>
  <si>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</si>
  <si>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</si>
  <si>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</si>
  <si>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</si>
  <si>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</si>
  <si>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</si>
  <si>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</si>
  <si>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</si>
  <si>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</si>
  <si>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</si>
  <si>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</si>
  <si>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</si>
  <si>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</si>
  <si>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</si>
  <si>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</si>
  <si>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</si>
  <si>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</si>
  <si>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</si>
  <si>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</si>
  <si>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</si>
  <si>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</si>
  <si>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</si>
  <si>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</si>
  <si>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</si>
  <si>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</si>
  <si>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</si>
  <si>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</si>
  <si>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</si>
  <si>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</si>
  <si>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</si>
  <si>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</si>
  <si>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</si>
  <si>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</si>
  <si>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</si>
  <si>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</si>
  <si>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</si>
  <si>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</si>
  <si>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</si>
  <si>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</si>
  <si>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</si>
  <si>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</si>
  <si>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</si>
  <si>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</si>
  <si>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</si>
  <si>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</si>
  <si>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</si>
  <si>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</si>
  <si>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</si>
  <si>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</si>
  <si>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</si>
  <si>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</si>
  <si>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</si>
  <si>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</si>
  <si>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</si>
  <si>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</si>
  <si>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</si>
  <si>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</si>
  <si>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</si>
  <si>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</si>
  <si>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</si>
  <si>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</si>
  <si>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</si>
  <si>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</si>
  <si>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</si>
  <si>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</si>
  <si>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</si>
  <si>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</si>
  <si>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</si>
  <si>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</si>
  <si>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</si>
  <si>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</si>
  <si>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</si>
  <si>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</si>
  <si>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</si>
  <si>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</si>
  <si>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</si>
  <si>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</si>
  <si>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</si>
  <si>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</si>
  <si>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</si>
  <si>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</si>
  <si>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</si>
  <si>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</si>
  <si>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</si>
  <si>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</si>
  <si>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</si>
  <si>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</si>
  <si>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</si>
  <si>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</si>
  <si>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</si>
  <si>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</si>
  <si>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</si>
  <si>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</si>
  <si>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</si>
  <si>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</si>
  <si>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</si>
  <si>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</si>
  <si>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</si>
  <si>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</si>
  <si>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</si>
  <si>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</si>
  <si>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</si>
  <si>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</si>
  <si>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</si>
  <si>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</si>
  <si>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</si>
  <si>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</si>
  <si>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</si>
  <si>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</si>
  <si>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</si>
  <si>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</si>
  <si>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</si>
  <si>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</si>
  <si>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</si>
  <si>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</si>
  <si>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</si>
  <si>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</si>
  <si>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</si>
  <si>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</si>
  <si>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</si>
  <si>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</si>
  <si>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</si>
  <si>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</si>
  <si>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</si>
  <si>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</si>
  <si>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</si>
  <si>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</si>
  <si>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</si>
  <si>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</si>
  <si>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</si>
  <si>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</si>
  <si>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</si>
  <si>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</si>
  <si>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</si>
  <si>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</si>
  <si>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</si>
  <si>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</si>
  <si>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</si>
  <si>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</si>
  <si>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</si>
  <si>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</si>
  <si>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</si>
  <si>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</si>
  <si>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</si>
  <si>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</si>
  <si>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</si>
  <si>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</si>
  <si>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</si>
  <si>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</si>
  <si>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</si>
  <si>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</si>
  <si>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</si>
  <si>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</si>
  <si>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</si>
  <si>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</si>
  <si>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</si>
  <si>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</si>
  <si>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</si>
  <si>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</si>
  <si>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</si>
  <si>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</si>
  <si>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</si>
  <si>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</si>
  <si>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</si>
  <si>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</si>
  <si>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</si>
  <si>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</si>
  <si>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</si>
  <si>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</si>
  <si>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</si>
  <si>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</si>
  <si>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</si>
  <si>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</si>
  <si>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</si>
  <si>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</si>
  <si>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</si>
  <si>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</si>
  <si>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</si>
  <si>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</si>
  <si>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</si>
  <si>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</si>
  <si>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</si>
  <si>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</si>
  <si>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</si>
  <si>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</si>
  <si>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</si>
  <si>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</si>
  <si>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</si>
  <si>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</si>
  <si>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</si>
  <si>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</si>
  <si>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</si>
  <si>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</si>
  <si>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</si>
  <si>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</si>
  <si>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</si>
  <si>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</si>
  <si>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</si>
  <si>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</si>
  <si>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</si>
  <si>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</si>
  <si>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</si>
  <si>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</si>
  <si>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</si>
  <si>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</si>
  <si>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</si>
  <si>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</si>
  <si>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</si>
  <si>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</si>
  <si>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</si>
  <si>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</si>
  <si>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</si>
  <si>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</si>
  <si>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</si>
  <si>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</si>
  <si>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</si>
  <si>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</si>
  <si>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</si>
  <si>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</si>
  <si>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</si>
  <si>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</si>
  <si>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</si>
  <si>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</si>
  <si>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</si>
  <si>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</si>
  <si>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</si>
  <si>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</si>
  <si>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</si>
  <si>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</si>
  <si>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</si>
  <si>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</si>
  <si>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</si>
  <si>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</si>
  <si>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</si>
  <si>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</si>
  <si>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</si>
  <si>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</si>
  <si>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</si>
  <si>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</si>
  <si>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</si>
  <si>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</si>
  <si>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</si>
  <si>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</si>
  <si>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</si>
  <si>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</si>
  <si>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</si>
  <si>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</si>
  <si>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</si>
  <si>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</si>
  <si>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</si>
  <si>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</si>
  <si>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</si>
  <si>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</si>
  <si>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</si>
  <si>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</si>
  <si>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</si>
  <si>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</si>
  <si>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</si>
  <si>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Sydney Trains S-set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</si>
  <si>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</si>
  <si>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</si>
  <si>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</si>
  <si>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</si>
  <si>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</si>
  <si>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</si>
  <si>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</si>
  <si>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</si>
  <si>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</si>
  <si>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</si>
  <si>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</si>
  <si>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</si>
  <si>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</si>
  <si>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</si>
  <si>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</si>
  <si>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</si>
  <si>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</si>
  <si>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</si>
  <si>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</si>
  <si>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</si>
  <si>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</si>
  <si>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</si>
  <si>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</si>
  <si>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</si>
  <si>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</si>
  <si>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</si>
  <si>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</si>
  <si>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</si>
  <si>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</si>
  <si>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</si>
  <si>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</si>
  <si>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</si>
  <si>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</si>
  <si>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</si>
  <si>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</si>
  <si>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</si>
  <si>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</si>
  <si>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</si>
  <si>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</si>
  <si>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</si>
  <si>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</si>
  <si>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</si>
  <si>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</si>
  <si>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</si>
  <si>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</si>
  <si>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</si>
  <si>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</si>
  <si>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</si>
  <si>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</si>
  <si>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</si>
  <si>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</si>
  <si>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</si>
  <si>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</si>
  <si>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</si>
  <si>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</si>
  <si>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</si>
  <si>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</si>
  <si>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</si>
  <si>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</si>
  <si>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</si>
  <si>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</si>
  <si>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</si>
  <si>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</si>
  <si>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</si>
  <si>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</si>
  <si>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</si>
  <si>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</si>
  <si>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</si>
  <si>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</si>
  <si>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</si>
  <si>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</si>
  <si>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</si>
  <si>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</si>
  <si>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</si>
  <si>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</si>
  <si>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</si>
  <si>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</si>
  <si>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</si>
  <si>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</si>
  <si>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</si>
  <si>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</si>
  <si>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</si>
  <si>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</si>
  <si>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</si>
  <si>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</si>
  <si>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</si>
  <si>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</si>
  <si>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</si>
  <si>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</si>
  <si>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</si>
  <si>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</si>
  <si>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</si>
  <si>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</si>
  <si>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</si>
  <si>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</si>
  <si>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</si>
  <si>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</si>
  <si>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</si>
  <si>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</si>
  <si>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</si>
  <si>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</si>
  <si>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</si>
  <si>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</si>
  <si>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</si>
  <si>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</si>
  <si>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</si>
  <si>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</si>
  <si>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</si>
  <si>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</si>
  <si>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</si>
  <si>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</si>
  <si>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</si>
  <si>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</si>
  <si>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</si>
  <si>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</si>
  <si>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</si>
  <si>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</si>
  <si>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</si>
  <si>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</si>
  <si>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</si>
  <si>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</si>
  <si>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</si>
  <si>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</si>
  <si>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</si>
  <si>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</si>
  <si>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</si>
  <si>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</si>
  <si>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</si>
  <si>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</si>
  <si>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</si>
  <si>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</si>
  <si>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</si>
  <si>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</si>
  <si>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</si>
  <si>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</si>
  <si>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</si>
  <si>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</si>
  <si>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</si>
  <si>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</si>
  <si>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</si>
  <si>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</si>
  <si>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</si>
  <si>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</si>
  <si>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</si>
  <si>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</si>
  <si>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</si>
  <si>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</si>
  <si>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</si>
  <si>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</si>
  <si>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</si>
  <si>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</si>
  <si>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</si>
  <si>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</si>
  <si>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</si>
  <si>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</si>
  <si>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</si>
  <si>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</si>
  <si>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</si>
  <si>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</si>
  <si>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</si>
  <si>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</si>
  <si>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</si>
  <si>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</si>
  <si>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</si>
  <si>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</si>
  <si>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</si>
  <si>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</si>
  <si>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</si>
  <si>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</si>
  <si>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</si>
  <si>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</si>
  <si>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</si>
  <si>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</si>
  <si>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</si>
  <si>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</si>
  <si>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</si>
  <si>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</si>
  <si>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</si>
  <si>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</si>
  <si>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</si>
  <si>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</si>
  <si>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</si>
  <si>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</si>
  <si>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</si>
  <si>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</si>
  <si>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</si>
  <si>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</si>
  <si>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</si>
  <si>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</si>
  <si>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</si>
  <si>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</si>
  <si>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</si>
  <si>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</si>
  <si>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</si>
  <si>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</si>
  <si>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</si>
  <si>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</si>
  <si>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</si>
  <si>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</si>
  <si>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</si>
  <si>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</si>
  <si>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</si>
  <si>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</si>
  <si>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</si>
  <si>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</si>
  <si>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</si>
  <si>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</si>
  <si>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</si>
  <si>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</si>
  <si>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</si>
  <si>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</si>
  <si>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</si>
  <si>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</si>
  <si>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</si>
  <si>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</si>
  <si>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</si>
  <si>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</si>
  <si>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</si>
  <si>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</si>
  <si>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</si>
  <si>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</si>
  <si>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</si>
  <si>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</si>
  <si>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</si>
  <si>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</si>
  <si>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</si>
  <si>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</si>
  <si>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</si>
  <si>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</si>
  <si>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</si>
  <si>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</si>
  <si>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</si>
  <si>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</si>
  <si>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</si>
  <si>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</si>
  <si>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</si>
  <si>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</si>
  <si>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</si>
  <si>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</si>
  <si>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</si>
  <si>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</si>
  <si>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</si>
  <si>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</si>
  <si>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</si>
  <si>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</si>
  <si>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</si>
  <si>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</si>
  <si>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</si>
  <si>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</si>
  <si>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</si>
  <si>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</si>
  <si>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</si>
  <si>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</si>
  <si>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</si>
  <si>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</si>
  <si>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</si>
  <si>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</si>
  <si>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</si>
  <si>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</si>
  <si>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</si>
  <si>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</si>
  <si>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</si>
  <si>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</si>
  <si>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</si>
  <si>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</si>
  <si>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</si>
  <si>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</si>
  <si>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</si>
  <si>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</si>
  <si>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</si>
  <si>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</si>
  <si>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</si>
  <si>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</si>
  <si>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</si>
  <si>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</si>
  <si>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</si>
  <si>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</si>
  <si>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</si>
  <si>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</si>
  <si>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</si>
  <si>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</si>
  <si>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</si>
  <si>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</si>
  <si>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</si>
  <si>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</si>
  <si>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</si>
  <si>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</si>
  <si>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</si>
  <si>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</si>
  <si>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</si>
  <si>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</si>
  <si>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</si>
  <si>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</si>
  <si>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</si>
  <si>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</si>
  <si>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</si>
  <si>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</si>
  <si>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</si>
  <si>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</si>
  <si>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</si>
  <si>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</si>
  <si>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</si>
  <si>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</si>
  <si>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</si>
  <si>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</si>
  <si>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</si>
  <si>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</si>
  <si>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</si>
  <si>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</si>
  <si>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</si>
  <si>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</si>
  <si>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</si>
  <si>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</si>
  <si>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</si>
  <si>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</si>
  <si>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</si>
  <si>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</si>
  <si>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</si>
  <si>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</si>
  <si>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</si>
  <si>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</si>
  <si>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</si>
  <si>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</si>
  <si>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</si>
  <si>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</si>
  <si>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</si>
  <si>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</si>
  <si>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</si>
  <si>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</si>
  <si>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</si>
  <si>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</si>
  <si>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</si>
  <si>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</si>
  <si>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</si>
  <si>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</si>
  <si>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</si>
  <si>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</si>
  <si>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</si>
  <si>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</si>
  <si>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</si>
  <si>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</si>
  <si>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</si>
  <si>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</si>
  <si>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</si>
  <si>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</si>
  <si>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</si>
  <si>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</si>
  <si>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</si>
  <si>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</si>
  <si>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</si>
  <si>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</si>
  <si>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</si>
  <si>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</si>
  <si>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</si>
  <si>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</si>
  <si>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</si>
  <si>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</si>
  <si>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</si>
  <si>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</si>
  <si>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</si>
  <si>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</si>
  <si>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</si>
  <si>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</si>
  <si>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</si>
  <si>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</si>
  <si>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</si>
  <si>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</si>
  <si>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</si>
  <si>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</si>
  <si>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</si>
  <si>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</si>
  <si>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</si>
  <si>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</si>
  <si>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</si>
  <si>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</si>
  <si>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</si>
  <si>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</si>
  <si>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</si>
  <si>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</si>
  <si>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</si>
  <si>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</si>
  <si>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</si>
  <si>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</si>
  <si>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</si>
  <si>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</si>
  <si>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</si>
  <si>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</si>
  <si>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</si>
  <si>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</si>
  <si>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</si>
  <si>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</si>
  <si>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</si>
  <si>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</si>
  <si>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</si>
  <si>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</si>
  <si>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</si>
  <si>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</si>
  <si>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</si>
  <si>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</si>
  <si>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</si>
  <si>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</si>
  <si>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</si>
  <si>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</si>
  <si>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</si>
  <si>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</si>
  <si>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</si>
  <si>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</si>
  <si>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</si>
  <si>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</si>
  <si>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</si>
  <si>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</si>
  <si>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</si>
  <si>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</si>
  <si>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</si>
  <si>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</si>
  <si>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</si>
  <si>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</si>
  <si>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</si>
  <si>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</si>
  <si>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</si>
  <si>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</si>
  <si>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</si>
  <si>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</si>
  <si>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</si>
  <si>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</si>
  <si>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</si>
  <si>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</si>
  <si>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</si>
  <si>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</si>
  <si>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</si>
  <si>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</si>
  <si>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</si>
  <si>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</si>
  <si>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</si>
  <si>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</si>
  <si>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</si>
  <si>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</si>
  <si>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</si>
  <si>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</si>
  <si>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</si>
  <si>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</si>
  <si>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</si>
  <si>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</si>
  <si>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</si>
  <si>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</si>
  <si>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</si>
  <si>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</si>
  <si>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</si>
  <si>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</si>
  <si>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</si>
  <si>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</si>
  <si>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</si>
  <si>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</si>
  <si>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</si>
  <si>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</si>
  <si>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</si>
  <si>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</si>
  <si>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</si>
  <si>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</si>
  <si>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</si>
  <si>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</si>
  <si>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</si>
  <si>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</si>
  <si>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</si>
  <si>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</si>
  <si>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</si>
  <si>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</si>
  <si>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</si>
  <si>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</si>
  <si>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</si>
  <si>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</si>
  <si>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</si>
  <si>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</si>
  <si>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</si>
  <si>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</si>
  <si>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</si>
  <si>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</si>
  <si>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</si>
  <si>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</si>
  <si>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</si>
  <si>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</si>
  <si>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</si>
  <si>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</si>
  <si>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</si>
  <si>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</si>
  <si>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</si>
  <si>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</si>
  <si>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</si>
  <si>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</si>
  <si>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</si>
  <si>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</si>
  <si>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</si>
  <si>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</si>
  <si>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</si>
  <si>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</si>
  <si>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</si>
  <si>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</si>
  <si>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</si>
  <si>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</si>
  <si>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</si>
  <si>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</si>
  <si>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</si>
  <si>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</si>
  <si>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</si>
  <si>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</si>
  <si>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</si>
  <si>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</si>
  <si>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</si>
  <si>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</si>
  <si>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</si>
  <si>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</si>
  <si>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</si>
  <si>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</si>
  <si>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</si>
  <si>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</si>
  <si>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</si>
  <si>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</si>
  <si>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</si>
  <si>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</si>
  <si>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</si>
  <si>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</si>
  <si>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</si>
  <si>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</si>
  <si>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</si>
  <si>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</si>
  <si>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</si>
  <si>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</si>
  <si>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</si>
  <si>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</si>
  <si>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</si>
  <si>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</si>
  <si>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</si>
  <si>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</si>
  <si>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</si>
  <si>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</si>
  <si>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</si>
  <si>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</si>
  <si>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</si>
  <si>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</si>
  <si>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</si>
  <si>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</si>
  <si>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</si>
  <si>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</si>
  <si>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</si>
  <si>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</si>
  <si>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</si>
  <si>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</si>
  <si>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</si>
  <si>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</si>
  <si>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</si>
  <si>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</si>
  <si>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</si>
  <si>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</si>
  <si>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</si>
  <si>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</si>
  <si>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</si>
  <si>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</si>
  <si>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</si>
  <si>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</si>
  <si>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</si>
  <si>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</si>
  <si>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</si>
  <si>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</si>
  <si>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</si>
  <si>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</si>
  <si>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</si>
  <si>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</si>
  <si>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</si>
  <si>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</si>
  <si>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</si>
  <si>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</si>
  <si>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</si>
  <si>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</si>
  <si>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</si>
  <si>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</si>
  <si>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</si>
  <si>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</si>
  <si>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</si>
  <si>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</si>
  <si>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</si>
  <si>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</si>
  <si>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</si>
  <si>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</si>
  <si>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</si>
  <si>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</si>
  <si>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</si>
  <si>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</si>
  <si>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</si>
  <si>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</si>
  <si>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</si>
  <si>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</si>
  <si>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</si>
  <si>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</si>
  <si>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</si>
  <si>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</si>
  <si>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</si>
  <si>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</si>
  <si>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</si>
  <si>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</si>
  <si>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</si>
  <si>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</si>
  <si>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</si>
  <si>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</si>
  <si>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</si>
  <si>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</si>
  <si>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</si>
  <si>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</si>
  <si>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</si>
  <si>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</si>
  <si>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</si>
  <si>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</si>
  <si>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</si>
  <si>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</si>
  <si>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</si>
  <si>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</si>
  <si>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</si>
  <si>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</si>
  <si>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</si>
  <si>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</si>
  <si>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</si>
  <si>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</si>
  <si>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</si>
  <si>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</si>
  <si>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</si>
  <si>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</si>
  <si>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</si>
  <si>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</si>
  <si>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</si>
  <si>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</si>
  <si>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</si>
  <si>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</si>
  <si>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</si>
  <si>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</si>
  <si>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</si>
  <si>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</si>
  <si>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</si>
  <si>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</si>
  <si>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</si>
  <si>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</si>
  <si>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</si>
  <si>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</si>
  <si>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</si>
  <si>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</si>
  <si>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</si>
  <si>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</si>
  <si>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</si>
  <si>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</si>
  <si>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</si>
  <si>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</si>
  <si>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</si>
  <si>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</si>
  <si>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</si>
  <si>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</si>
  <si>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</si>
  <si>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</si>
  <si>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</si>
  <si>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</si>
  <si>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</si>
  <si>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</si>
  <si>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</si>
  <si>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</si>
  <si>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</si>
  <si>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</si>
  <si>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</si>
  <si>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</si>
  <si>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</si>
  <si>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</si>
  <si>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</si>
  <si>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</si>
  <si>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</si>
  <si>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</si>
  <si>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</si>
  <si>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</si>
  <si>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</si>
  <si>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</si>
  <si>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</si>
  <si>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</si>
  <si>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</si>
  <si>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</si>
  <si>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</si>
  <si>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</si>
  <si>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</si>
  <si>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</si>
  <si>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</si>
  <si>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</si>
  <si>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</si>
  <si>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</si>
  <si>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</si>
  <si>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</si>
  <si>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</si>
  <si>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</si>
  <si>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</si>
  <si>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</si>
  <si>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</si>
  <si>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</si>
  <si>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</si>
  <si>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</si>
  <si>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</si>
  <si>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</si>
  <si>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</si>
  <si>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</si>
  <si>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</si>
  <si>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</si>
  <si>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</si>
  <si>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</si>
  <si>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</si>
  <si>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</si>
  <si>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</si>
  <si>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</si>
  <si>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</si>
  <si>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</si>
  <si>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</si>
  <si>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</si>
  <si>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</si>
  <si>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</si>
  <si>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</si>
  <si>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</si>
  <si>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</si>
  <si>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</si>
  <si>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</si>
  <si>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</si>
  <si>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</si>
  <si>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</si>
  <si>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</si>
  <si>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</si>
  <si>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</si>
  <si>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</si>
  <si>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</si>
  <si>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</si>
  <si>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</si>
  <si>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</si>
  <si>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</si>
  <si>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</si>
  <si>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</si>
  <si>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</si>
  <si>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</si>
  <si>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</si>
  <si>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</si>
  <si>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</si>
  <si>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</si>
  <si>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</si>
  <si>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</si>
  <si>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</si>
  <si>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</si>
  <si>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</si>
  <si>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</si>
  <si>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</si>
  <si>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</si>
  <si>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</si>
  <si>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</si>
  <si>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</si>
  <si>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</si>
  <si>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</si>
  <si>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</si>
  <si>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</si>
  <si>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</si>
  <si>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</si>
  <si>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</si>
  <si>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</si>
  <si>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</si>
  <si>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</si>
  <si>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</si>
  <si>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</si>
  <si>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</si>
  <si>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</si>
  <si>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</si>
  <si>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</si>
  <si>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</si>
  <si>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</si>
  <si>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</si>
  <si>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</si>
  <si>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</si>
  <si>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</si>
  <si>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</si>
  <si>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</si>
  <si>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</si>
  <si>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</si>
  <si>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</si>
  <si>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</si>
  <si>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</si>
  <si>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</si>
  <si>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</si>
  <si>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</si>
  <si>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</si>
  <si>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</si>
  <si>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</si>
  <si>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</si>
  <si>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</si>
  <si>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</si>
  <si>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</si>
  <si>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</si>
  <si>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</si>
  <si>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</si>
  <si>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</si>
  <si>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</si>
  <si>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</si>
  <si>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</si>
  <si>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</si>
  <si>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</si>
  <si>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</si>
  <si>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</si>
  <si>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</si>
  <si>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</si>
  <si>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</si>
  <si>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</si>
  <si>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</si>
  <si>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</si>
  <si>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</si>
  <si>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</si>
  <si>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</si>
  <si>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</si>
  <si>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</si>
  <si>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</si>
  <si>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</si>
  <si>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</si>
  <si>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</si>
  <si>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</si>
  <si>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</si>
  <si>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</si>
  <si>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</si>
  <si>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</si>
  <si>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</si>
  <si>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</si>
  <si>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</si>
  <si>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</si>
  <si>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</si>
  <si>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</si>
  <si>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</si>
  <si>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</si>
  <si>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</si>
  <si>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</si>
  <si>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</si>
  <si>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</si>
  <si>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</si>
  <si>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</si>
  <si>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</si>
  <si>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</si>
  <si>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</si>
  <si>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</si>
  <si>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</si>
  <si>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</si>
  <si>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</si>
  <si>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</si>
  <si>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</si>
  <si>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</si>
  <si>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</si>
  <si>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</si>
  <si>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</si>
  <si>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</si>
  <si>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</si>
  <si>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</si>
  <si>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</si>
  <si>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</si>
  <si>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</si>
  <si>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</si>
  <si>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</si>
  <si>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</si>
  <si>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</si>
  <si>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</si>
  <si>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</si>
  <si>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</si>
  <si>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</si>
  <si>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</si>
  <si>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</si>
  <si>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</si>
  <si>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</si>
  <si>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</si>
  <si>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</si>
  <si>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</si>
  <si>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</si>
  <si>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</si>
  <si>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</si>
  <si>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</si>
  <si>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</si>
  <si>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</si>
  <si>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</si>
  <si>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</si>
  <si>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</si>
  <si>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</si>
  <si>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</si>
  <si>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</si>
  <si>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</si>
  <si>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</si>
  <si>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</si>
  <si>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</si>
  <si>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</si>
  <si>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</si>
  <si>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</si>
  <si>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</si>
  <si>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</si>
  <si>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</si>
  <si>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</si>
  <si>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</si>
  <si>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</si>
  <si>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</si>
  <si>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</si>
  <si>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</si>
  <si>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</si>
  <si>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</si>
  <si>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</si>
  <si>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</si>
  <si>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</si>
  <si>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</si>
  <si>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</si>
  <si>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</si>
  <si>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</si>
  <si>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</si>
  <si>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</si>
  <si>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</si>
  <si>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</si>
  <si>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</si>
  <si>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</si>
  <si>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</si>
  <si>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</si>
  <si>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</si>
  <si>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</si>
  <si>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</si>
  <si>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</si>
  <si>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</si>
  <si>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</si>
  <si>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</si>
  <si>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</si>
  <si>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</si>
  <si>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</si>
  <si>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</si>
  <si>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</si>
  <si>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</si>
  <si>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</si>
  <si>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</si>
  <si>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</si>
  <si>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</si>
  <si>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</si>
  <si>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</si>
  <si>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</si>
  <si>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</si>
  <si>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</si>
  <si>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</si>
  <si>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</si>
  <si>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</si>
  <si>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</si>
  <si>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</si>
  <si>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</si>
  <si>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</si>
  <si>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</si>
  <si>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</si>
  <si>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</si>
  <si>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</si>
  <si>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</si>
  <si>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</si>
  <si>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</si>
  <si>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</si>
  <si>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</si>
  <si>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</si>
  <si>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</si>
  <si>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</si>
  <si>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</si>
  <si>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</si>
  <si>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</si>
  <si>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</si>
  <si>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</si>
  <si>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</si>
  <si>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</si>
  <si>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</si>
  <si>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</si>
  <si>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</si>
  <si>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</si>
  <si>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</si>
  <si>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</si>
  <si>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</si>
  <si>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</si>
  <si>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</si>
  <si>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</si>
  <si>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</si>
  <si>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</si>
  <si>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</si>
  <si>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</si>
  <si>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</si>
  <si>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</si>
  <si>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</si>
  <si>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</si>
  <si>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</si>
  <si>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</si>
  <si>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</si>
  <si>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</si>
  <si>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</si>
  <si>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</si>
  <si>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</si>
  <si>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</si>
  <si>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</si>
  <si>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</si>
  <si>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</si>
  <si>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</si>
  <si>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</si>
  <si>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</si>
  <si>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</si>
  <si>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</si>
  <si>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</si>
  <si>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</si>
  <si>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</si>
  <si>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</si>
  <si>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</si>
  <si>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</si>
  <si>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</si>
  <si>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</si>
  <si>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</si>
  <si>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</si>
  <si>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</si>
  <si>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</si>
  <si>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</si>
  <si>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</si>
  <si>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</si>
  <si>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</si>
  <si>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</si>
  <si>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</si>
  <si>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</si>
  <si>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</si>
  <si>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</si>
  <si>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</si>
  <si>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</si>
  <si>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</si>
  <si>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</si>
  <si>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</si>
  <si>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</si>
  <si>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</si>
  <si>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</si>
  <si>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</si>
  <si>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</si>
  <si>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</si>
  <si>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</si>
  <si>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</si>
  <si>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</si>
  <si>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</si>
  <si>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</si>
  <si>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</si>
  <si>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</si>
  <si>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</si>
  <si>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</si>
  <si>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</si>
  <si>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</si>
  <si>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</si>
  <si>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</si>
  <si>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</si>
  <si>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</si>
  <si>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</si>
  <si>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</si>
  <si>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</si>
  <si>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</si>
  <si>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</si>
  <si>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</si>
  <si>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</si>
  <si>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</si>
  <si>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</si>
  <si>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</si>
  <si>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</si>
  <si>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</si>
  <si>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</si>
  <si>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</si>
  <si>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</si>
  <si>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</si>
  <si>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</si>
  <si>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</si>
  <si>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</si>
  <si>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</si>
  <si>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</si>
  <si>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</si>
  <si>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</si>
  <si>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</si>
  <si>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</si>
  <si>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</si>
  <si>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</si>
  <si>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</si>
  <si>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</si>
  <si>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</si>
  <si>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</si>
  <si>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</si>
  <si>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</si>
  <si>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</si>
  <si>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</si>
  <si>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</si>
  <si>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</si>
  <si>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</si>
  <si>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</si>
  <si>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</si>
  <si>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</si>
  <si>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</si>
  <si>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</si>
  <si>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</si>
  <si>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</si>
  <si>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</si>
  <si>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</si>
  <si>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</si>
  <si>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</si>
  <si>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</si>
  <si>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</si>
  <si>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</si>
  <si>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</si>
  <si>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</si>
  <si>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</si>
  <si>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</si>
  <si>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</si>
  <si>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</si>
  <si>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</si>
  <si>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</si>
  <si>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</si>
  <si>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</si>
  <si>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</si>
  <si>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</si>
  <si>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</si>
  <si>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</si>
  <si>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</si>
  <si>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</si>
  <si>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</si>
  <si>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</si>
  <si>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</si>
  <si>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</si>
  <si>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</si>
  <si>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</si>
  <si>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</si>
  <si>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</si>
  <si>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</si>
  <si>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</si>
  <si>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</si>
  <si>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</si>
  <si>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</si>
  <si>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</si>
  <si>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</si>
  <si>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</si>
  <si>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</si>
  <si>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</si>
  <si>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</si>
  <si>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</si>
  <si>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</si>
  <si>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</si>
  <si>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</si>
  <si>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</si>
  <si>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</si>
  <si>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</si>
  <si>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</si>
  <si>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</si>
  <si>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</si>
  <si>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</si>
  <si>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</si>
  <si>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</si>
  <si>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</si>
  <si>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</si>
  <si>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</si>
  <si>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</si>
  <si>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</si>
  <si>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</si>
  <si>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</si>
  <si>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</si>
  <si>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</si>
  <si>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</si>
  <si>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</si>
  <si>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</si>
  <si>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</si>
  <si>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</si>
  <si>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</si>
  <si>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</si>
  <si>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</si>
  <si>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</si>
  <si>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</si>
  <si>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</si>
  <si>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</si>
  <si>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</si>
  <si>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</si>
  <si>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</si>
  <si>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</si>
  <si>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</si>
  <si>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</si>
  <si>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</si>
  <si>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</si>
  <si>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</si>
  <si>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</si>
  <si>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</si>
  <si>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</si>
  <si>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</si>
  <si>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</si>
  <si>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</si>
  <si>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</si>
  <si>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</si>
  <si>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</si>
  <si>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</si>
  <si>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</si>
  <si>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</si>
  <si>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</si>
  <si>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</si>
  <si>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</si>
  <si>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</si>
  <si>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</si>
  <si>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</si>
  <si>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</si>
  <si>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</si>
  <si>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</si>
  <si>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</si>
  <si>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</si>
  <si>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</si>
  <si>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</si>
  <si>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</si>
  <si>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</si>
  <si>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</si>
  <si>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</si>
  <si>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</si>
  <si>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</si>
  <si>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</si>
  <si>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</si>
  <si>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</si>
  <si>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</si>
  <si>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</si>
  <si>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</si>
  <si>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</si>
  <si>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</si>
  <si>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</si>
  <si>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</si>
  <si>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</si>
  <si>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</si>
  <si>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</si>
  <si>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</si>
  <si>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</si>
  <si>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</si>
  <si>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</si>
  <si>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</si>
  <si>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</si>
  <si>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</si>
  <si>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</si>
  <si>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</si>
  <si>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</si>
  <si>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</si>
  <si>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</si>
  <si>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</si>
  <si>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</si>
  <si>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</si>
  <si>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</si>
  <si>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</si>
  <si>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</si>
  <si>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</si>
  <si>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</si>
  <si>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</si>
  <si>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</si>
  <si>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</si>
  <si>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</si>
  <si>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</si>
  <si>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</si>
  <si>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</si>
  <si>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</si>
  <si>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</si>
  <si>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</si>
  <si>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</si>
  <si>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</si>
  <si>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</si>
  <si>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</si>
  <si>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</si>
  <si>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</si>
  <si>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</si>
  <si>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</si>
  <si>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</si>
  <si>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</si>
  <si>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</si>
  <si>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</si>
  <si>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</si>
  <si>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</si>
  <si>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</si>
  <si>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</si>
  <si>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</si>
  <si>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</si>
  <si>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</si>
  <si>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</si>
  <si>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</si>
  <si>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</si>
  <si>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</si>
  <si>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</si>
  <si>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</si>
  <si>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</si>
  <si>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</si>
  <si>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</si>
  <si>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</si>
  <si>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</si>
  <si>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</si>
  <si>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</si>
  <si>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</si>
  <si>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</si>
  <si>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</si>
  <si>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</si>
  <si>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</si>
  <si>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</si>
  <si>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</si>
  <si>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</si>
  <si>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</si>
  <si>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</si>
  <si>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</si>
  <si>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</si>
  <si>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</si>
  <si>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</si>
  <si>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</si>
  <si>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</si>
  <si>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</si>
  <si>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</si>
  <si>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</si>
  <si>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</si>
  <si>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</si>
  <si>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</si>
  <si>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</si>
  <si>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</si>
  <si>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</si>
  <si>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</si>
  <si>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</si>
  <si>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</si>
  <si>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</si>
  <si>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</si>
  <si>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</si>
  <si>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</si>
  <si>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</si>
  <si>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</si>
  <si>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</si>
  <si>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</si>
  <si>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</si>
  <si>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</si>
  <si>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</si>
  <si>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</si>
  <si>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</si>
  <si>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</si>
  <si>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</si>
  <si>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</si>
  <si>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</si>
  <si>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</si>
  <si>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</si>
  <si>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</si>
  <si>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</si>
  <si>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</si>
  <si>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</si>
  <si>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</si>
  <si>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</si>
  <si>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</si>
  <si>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</si>
  <si>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</si>
  <si>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</si>
  <si>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</si>
  <si>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</si>
  <si>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</si>
  <si>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</si>
  <si>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</si>
  <si>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</si>
  <si>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</si>
  <si>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</si>
  <si>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</si>
  <si>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</si>
  <si>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</si>
  <si>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</si>
  <si>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</si>
  <si>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</si>
  <si>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</si>
  <si>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</si>
  <si>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</si>
  <si>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</si>
  <si>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</si>
  <si>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</si>
  <si>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</si>
  <si>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</si>
  <si>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</si>
  <si>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</si>
  <si>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</si>
  <si>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</si>
  <si>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</si>
  <si>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</si>
  <si>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</si>
  <si>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</si>
  <si>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</si>
  <si>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</si>
  <si>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</si>
  <si>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</si>
  <si>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</si>
  <si>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</si>
  <si>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</si>
  <si>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</si>
  <si>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</si>
  <si>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</si>
  <si>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</si>
  <si>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</si>
  <si>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</si>
  <si>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</si>
  <si>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</si>
  <si>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</si>
  <si>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</si>
  <si>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</si>
  <si>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</si>
  <si>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</si>
  <si>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</si>
  <si>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</si>
  <si>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</si>
  <si>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</si>
  <si>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</si>
  <si>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</si>
  <si>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</si>
  <si>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</si>
  <si>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</si>
  <si>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</si>
  <si>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</si>
  <si>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</si>
  <si>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</si>
  <si>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</si>
  <si>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</si>
  <si>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</si>
  <si>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</si>
  <si>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</si>
  <si>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</si>
  <si>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</si>
  <si>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</si>
  <si>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</si>
  <si>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</si>
  <si>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</si>
  <si>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</si>
  <si>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</si>
  <si>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</si>
  <si>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</si>
  <si>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</si>
  <si>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</si>
  <si>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</si>
  <si>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</si>
  <si>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</si>
  <si>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</si>
  <si>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</si>
  <si>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</si>
  <si>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</si>
  <si>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</si>
  <si>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</si>
  <si>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</si>
  <si>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</si>
  <si>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</si>
  <si>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</si>
  <si>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</si>
  <si>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</si>
  <si>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</si>
  <si>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</si>
  <si>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</si>
  <si>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</si>
  <si>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</si>
  <si>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</si>
  <si>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</si>
  <si>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</si>
  <si>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</si>
  <si>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</si>
  <si>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</si>
  <si>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</si>
  <si>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</si>
  <si>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</si>
  <si>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</si>
  <si>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</si>
  <si>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</si>
  <si>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</si>
  <si>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</si>
  <si>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</si>
  <si>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</si>
  <si>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</si>
  <si>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</si>
  <si>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</si>
  <si>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</si>
  <si>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</si>
  <si>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</si>
  <si>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</si>
  <si>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</si>
  <si>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</si>
  <si>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</si>
  <si>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</si>
  <si>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</si>
  <si>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</si>
  <si>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</si>
  <si>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</si>
  <si>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</si>
  <si>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</si>
  <si>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</si>
  <si>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</si>
  <si>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</si>
  <si>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</si>
  <si>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</si>
  <si>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</si>
  <si>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</si>
  <si>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</si>
  <si>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</si>
  <si>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</si>
  <si>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</si>
  <si>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</si>
  <si>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</si>
  <si>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</si>
  <si>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</si>
  <si>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</si>
  <si>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</si>
  <si>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</si>
  <si>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</si>
  <si>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</si>
  <si>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</si>
  <si>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</si>
  <si>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</si>
  <si>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</si>
  <si>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</si>
  <si>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</si>
  <si>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</si>
  <si>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</si>
  <si>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</si>
  <si>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</si>
  <si>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</si>
  <si>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</si>
  <si>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</si>
  <si>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</si>
  <si>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</si>
  <si>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</si>
  <si>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</si>
  <si>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</si>
  <si>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</si>
  <si>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</si>
  <si>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</si>
  <si>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</si>
  <si>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</si>
  <si>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</si>
  <si>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</si>
  <si>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</si>
  <si>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</si>
  <si>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</si>
  <si>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</si>
  <si>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</si>
  <si>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</si>
  <si>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</si>
  <si>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</si>
  <si>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</si>
  <si>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</si>
  <si>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</si>
  <si>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</si>
  <si>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</si>
  <si>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</si>
  <si>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</si>
  <si>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</si>
  <si>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</si>
  <si>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</si>
  <si>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</si>
  <si>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</si>
  <si>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</si>
  <si>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</si>
  <si>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</si>
  <si>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</si>
  <si>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</si>
  <si>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</si>
  <si>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</si>
  <si>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</si>
  <si>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</si>
  <si>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</si>
  <si>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</si>
  <si>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</si>
  <si>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</si>
  <si>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</si>
  <si>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</si>
  <si>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</si>
  <si>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</si>
  <si>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</si>
  <si>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</si>
  <si>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</si>
  <si>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</si>
  <si>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</si>
  <si>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</si>
  <si>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</si>
  <si>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</si>
  <si>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</si>
  <si>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</si>
  <si>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</si>
  <si>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</si>
  <si>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</si>
  <si>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</si>
  <si>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</si>
  <si>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</si>
  <si>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</si>
  <si>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</si>
  <si>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</si>
  <si>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</si>
  <si>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</si>
  <si>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</si>
  <si>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</si>
  <si>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</si>
  <si>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</si>
  <si>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</si>
  <si>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</si>
  <si>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</si>
  <si>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</si>
  <si>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</si>
  <si>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</si>
  <si>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</si>
  <si>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</si>
  <si>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</si>
  <si>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</si>
  <si>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</si>
  <si>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</si>
  <si>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</si>
  <si>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</si>
  <si>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</si>
  <si>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</si>
  <si>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</si>
  <si>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</si>
  <si>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</si>
  <si>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</si>
  <si>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</si>
  <si>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</si>
  <si>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</si>
  <si>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</si>
  <si>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</si>
  <si>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</si>
  <si>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</si>
  <si>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</si>
  <si>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</si>
  <si>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</si>
  <si>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</si>
  <si>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</si>
  <si>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https://en.wikipedia.org/wiki/New_South_Wales_48_class_locomotive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</si>
  <si>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</si>
  <si>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</si>
  <si>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</si>
  <si>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</si>
  <si>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</si>
  <si>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</si>
  <si>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</si>
  <si>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</si>
  <si>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</si>
  <si>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</si>
  <si>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</si>
  <si>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</si>
  <si>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</si>
  <si>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</si>
  <si>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</si>
  <si>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</si>
  <si>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</si>
  <si>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</si>
  <si>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</si>
  <si>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</si>
  <si>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</si>
  <si>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</si>
  <si>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</si>
  <si>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</si>
  <si>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</si>
  <si>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</si>
  <si>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</si>
  <si>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</si>
  <si>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</si>
  <si>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</si>
  <si>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</si>
  <si>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</si>
  <si>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</si>
  <si>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</si>
  <si>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</si>
  <si>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</si>
  <si>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</si>
  <si>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</si>
  <si>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</si>
  <si>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</si>
  <si>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</si>
  <si>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</si>
  <si>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</si>
  <si>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</si>
  <si>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</si>
  <si>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</si>
  <si>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</si>
  <si>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</si>
  <si>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</si>
  <si>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</si>
  <si>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</si>
  <si>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</si>
  <si>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</si>
  <si>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</si>
  <si>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</si>
  <si>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</si>
  <si>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</si>
  <si>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</si>
  <si>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</si>
  <si>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</si>
  <si>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</si>
  <si>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</si>
  <si>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</si>
  <si>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</si>
  <si>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</si>
  <si>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</si>
  <si>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</si>
  <si>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</si>
  <si>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</si>
  <si>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</si>
  <si>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</si>
  <si>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</si>
  <si>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</si>
  <si>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</si>
  <si>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</si>
  <si>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</si>
  <si>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</si>
  <si>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</si>
  <si>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</si>
  <si>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</si>
  <si>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</si>
  <si>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</si>
  <si>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</si>
  <si>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</si>
  <si>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</si>
  <si>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</si>
  <si>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</si>
  <si>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</si>
  <si>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</si>
  <si>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</si>
  <si>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</si>
  <si>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</si>
  <si>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</si>
  <si>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</si>
  <si>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</si>
  <si>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</si>
  <si>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</si>
  <si>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</si>
  <si>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</si>
  <si>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</si>
  <si>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</si>
  <si>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</si>
  <si>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</si>
  <si>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</si>
  <si>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</si>
  <si>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</si>
  <si>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</si>
  <si>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</si>
  <si>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</si>
  <si>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</si>
  <si>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</si>
  <si>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</si>
  <si>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</si>
  <si>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</si>
  <si>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</si>
  <si>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</si>
  <si>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</si>
  <si>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</si>
  <si>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</si>
  <si>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</si>
  <si>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</si>
  <si>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</si>
  <si>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</si>
  <si>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</si>
  <si>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</si>
  <si>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</si>
  <si>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</si>
  <si>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</si>
  <si>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</si>
  <si>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</si>
  <si>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</si>
  <si>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</si>
  <si>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</si>
  <si>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</si>
  <si>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</si>
  <si>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</si>
  <si>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</si>
  <si>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</si>
  <si>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</si>
  <si>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</si>
  <si>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</si>
  <si>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</si>
  <si>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</si>
  <si>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</si>
  <si>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</si>
  <si>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</si>
  <si>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</si>
  <si>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</si>
  <si>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</si>
  <si>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</si>
  <si>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</si>
  <si>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</si>
  <si>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</si>
  <si>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</si>
  <si>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</si>
  <si>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</si>
  <si>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</si>
  <si>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</si>
  <si>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</si>
  <si>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</si>
  <si>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</si>
  <si>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</si>
  <si>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</si>
  <si>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</si>
  <si>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</si>
  <si>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</si>
  <si>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</si>
  <si>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</si>
  <si>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</si>
  <si>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</si>
  <si>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</si>
  <si>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</si>
  <si>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</si>
  <si>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</si>
  <si>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</si>
  <si>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</si>
  <si>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</si>
  <si>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</si>
  <si>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</si>
  <si>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</si>
  <si>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</si>
  <si>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</si>
  <si>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</si>
  <si>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</si>
  <si>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</si>
  <si>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</si>
  <si>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</si>
  <si>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</si>
  <si>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</si>
  <si>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</si>
  <si>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</si>
  <si>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</si>
  <si>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</si>
  <si>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</si>
  <si>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</si>
  <si>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</si>
  <si>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</si>
  <si>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</si>
  <si>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</si>
  <si>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</si>
  <si>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</si>
  <si>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</si>
  <si>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</si>
  <si>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</si>
  <si>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</si>
  <si>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</si>
  <si>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</si>
  <si>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</si>
  <si>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</si>
  <si>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</si>
  <si>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</si>
  <si>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</si>
  <si>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</si>
  <si>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</si>
  <si>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</si>
  <si>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</si>
  <si>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</si>
  <si>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</si>
  <si>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</si>
  <si>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</si>
  <si>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</si>
  <si>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</si>
  <si>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</si>
  <si>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</si>
  <si>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</si>
  <si>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</si>
  <si>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</si>
  <si>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</si>
  <si>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</si>
  <si>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</si>
  <si>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</si>
  <si>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</si>
  <si>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</si>
  <si>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</si>
  <si>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</si>
  <si>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</si>
  <si>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</si>
  <si>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</si>
  <si>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</si>
  <si>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</si>
  <si>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</si>
  <si>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</si>
  <si>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</si>
  <si>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</si>
  <si>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</si>
  <si>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</si>
  <si>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</si>
  <si>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</si>
  <si>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</si>
  <si>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</si>
  <si>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</si>
  <si>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</si>
  <si>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</si>
  <si>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</si>
  <si>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</si>
  <si>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</si>
  <si>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</si>
  <si>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</si>
  <si>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</si>
  <si>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</si>
  <si>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</si>
  <si>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</si>
  <si>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</si>
  <si>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</si>
  <si>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</si>
  <si>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</si>
  <si>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</si>
  <si>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</si>
  <si>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</si>
  <si>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</si>
  <si>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</si>
  <si>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</si>
  <si>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</si>
  <si>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</si>
  <si>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</si>
  <si>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</si>
  <si>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</si>
  <si>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</si>
  <si>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</si>
  <si>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</si>
  <si>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</si>
  <si>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</si>
  <si>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</si>
  <si>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</si>
  <si>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</si>
  <si>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</si>
  <si>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</si>
  <si>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</si>
  <si>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</si>
  <si>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</si>
  <si>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</si>
  <si>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</si>
  <si>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</si>
  <si>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</si>
  <si>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</si>
  <si>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</si>
  <si>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</si>
  <si>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</si>
  <si>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</si>
  <si>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</si>
  <si>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</si>
  <si>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</si>
  <si>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</si>
  <si>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</si>
  <si>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</si>
  <si>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</si>
  <si>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</si>
  <si>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</si>
  <si>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</si>
  <si>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</si>
  <si>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</si>
  <si>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</si>
  <si>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</si>
  <si>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</si>
  <si>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</si>
  <si>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</si>
  <si>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</si>
  <si>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</si>
  <si>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</si>
  <si>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</si>
  <si>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</si>
  <si>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</si>
  <si>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</si>
  <si>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</si>
  <si>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</si>
  <si>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</si>
  <si>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</si>
  <si>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</si>
  <si>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</si>
  <si>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</si>
  <si>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</si>
  <si>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</si>
  <si>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</si>
  <si>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</si>
  <si>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</si>
  <si>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</si>
  <si>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</si>
  <si>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</si>
  <si>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</si>
  <si>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</si>
  <si>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</si>
  <si>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</si>
  <si>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</si>
  <si>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</si>
  <si>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</si>
  <si>
    <t>Zimbabwe Railways DE8</t>
  </si>
  <si>
    <t>BCK Type 2450</t>
  </si>
  <si>
    <t>BCK Class 200 'Katanga Mikado'</t>
  </si>
  <si>
    <t>FNM 6700 GE C30-7 'Dash 7'</t>
  </si>
  <si>
    <t>EFC 500 GE C40-8 'Dash-8'</t>
  </si>
  <si>
    <t>CNR 2500 GE C44-9W 'Dash 9'</t>
  </si>
  <si>
    <t>PRFTC 9000 GE ES43ACi</t>
  </si>
  <si>
    <t>Atlantic Coast Line GP40</t>
  </si>
  <si>
    <t>steam_Bulgaria_BDZ_142_150</t>
  </si>
  <si>
    <t>https://bg.wikipedia.org/wiki/%D0%9B%D0%BE%D0%BA%D0%BE%D0%BC%D0%BE%D1%82%D0%B8%D0%B2%D0%B8_%D0%91%D0%94%D0%96_142-150</t>
  </si>
  <si>
    <t>BDZ Class 279 142-150</t>
  </si>
  <si>
    <t>steam_Hungary_MAV_Class_203</t>
  </si>
  <si>
    <t>MAV Class 203</t>
  </si>
  <si>
    <t>https://hu.wikipedia.org/wiki/M%C3%81V_203_sorozat</t>
  </si>
  <si>
    <t>steam_Hungary_MAV_Class_601</t>
  </si>
  <si>
    <t>MAV Class 601</t>
  </si>
  <si>
    <t>https://hu.wikipedia.org/wiki/M%C3%81V_601_sorozat</t>
  </si>
  <si>
    <t>electric_Hungary_MAV_Class_V40</t>
  </si>
  <si>
    <t>MAV V40</t>
  </si>
  <si>
    <t>https://hu.wikipedia.org/wiki/M%C3%81V_V40_sorozat</t>
  </si>
  <si>
    <t>diesel_Poland_PKP_SU160</t>
  </si>
  <si>
    <t>https://pl.wikipedia.org/wiki/Pesa_Gama</t>
  </si>
  <si>
    <t>steam_Italy_LVCI_Class_1</t>
  </si>
  <si>
    <t>LVCI Class 1</t>
  </si>
  <si>
    <t>https://en.wikipedia.org/wiki/Locomotives_LVCI_1-50,_155-164</t>
  </si>
  <si>
    <t>https://loco-info.com/view.aspx?id=13614&amp;cookies=decline</t>
  </si>
  <si>
    <t>RENFE 462</t>
  </si>
  <si>
    <t>steam_Spain_RENFE_462</t>
  </si>
  <si>
    <t>WITHDRAWAL_YEAR</t>
  </si>
  <si>
    <t>steam_Spain_RENFE_030</t>
  </si>
  <si>
    <t>RENFE 030</t>
  </si>
  <si>
    <t>https://loco-info.com/view.aspx?id=17982&amp;cookies=decline</t>
  </si>
  <si>
    <t>steam_Spain_RENFE_240</t>
  </si>
  <si>
    <t>RENFE 240</t>
  </si>
  <si>
    <t>https://loco-info.com/view.aspx?id=11969&amp;cookies=decline</t>
  </si>
  <si>
    <t>Santiago y Chillán Sifang SFB-500</t>
  </si>
  <si>
    <t>https://es.wikipedia.org/wiki/Serie_SFB-500</t>
  </si>
  <si>
    <t>emu_Chile_Chilean_SFB500_DEMU</t>
  </si>
  <si>
    <t>Russian Intercity Sleeper Coach</t>
  </si>
  <si>
    <t>BR Class 08</t>
  </si>
  <si>
    <t>REGIONTYPE4</t>
  </si>
  <si>
    <t>REGIONTYPE5</t>
  </si>
  <si>
    <t>DRG E94</t>
  </si>
  <si>
    <t>REGIONTYPE6</t>
  </si>
  <si>
    <t>PRR Budd Metroliner</t>
  </si>
  <si>
    <t>NS DD-IRM 'VIRM' 8000</t>
  </si>
  <si>
    <t>UP Express 1000 Series</t>
  </si>
  <si>
    <t>Odakyu 3100 series NSE</t>
  </si>
  <si>
    <t>Odakyu 10000 series HiSE</t>
  </si>
  <si>
    <t>Sydney Trains H-set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</si>
  <si>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</si>
  <si>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</si>
  <si>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</si>
  <si>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</si>
  <si>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</si>
  <si>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</si>
  <si>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</si>
  <si>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DR 132/DBAG 234</t>
  </si>
  <si>
    <t>emu_Japan_JNR_Shinkansen_Series_100</t>
  </si>
  <si>
    <t>JNR Shinkansen Series 100</t>
  </si>
  <si>
    <t>https://en.wikipedia.org/wiki/100_Series_Shinkansen</t>
  </si>
  <si>
    <t>diesel_Yugoslavia_JZ_D66</t>
  </si>
  <si>
    <t>JZ D66 Krauss-Maffei ML 2200</t>
  </si>
  <si>
    <t>https://en.wikipedia.org/wiki/Krauss-Maffei_ML_2200_C%27C%27</t>
  </si>
  <si>
    <t>MAV Hargita M440</t>
  </si>
  <si>
    <t>dmu_Hungary_MAV_Hargita_M440</t>
  </si>
  <si>
    <t>https://hu.wikipedia.org/wiki/M%C3%81V_Hargita_t%C3%ADpus</t>
  </si>
  <si>
    <t>electric_Germany_DRG_E44</t>
  </si>
  <si>
    <t>DRG E44</t>
  </si>
  <si>
    <t>https://de.wikipedia.org/wiki/DR-Baureihe_E_44</t>
  </si>
  <si>
    <t>ALCO DL500</t>
  </si>
  <si>
    <t>https://en.wikipedia.org/wiki/ALCO_FA#ALCO_%22World_Locomotive%22</t>
  </si>
  <si>
    <t>NSWGR 48 / ALCO DL531/532</t>
  </si>
  <si>
    <t>electric_Poland_PKP_PESA_111E</t>
  </si>
  <si>
    <t>PESA 111D // PKP SU160</t>
  </si>
  <si>
    <t>PESA 111MS</t>
  </si>
  <si>
    <t>electric_Russia_RZD_VL19</t>
  </si>
  <si>
    <t>RZD VL19</t>
  </si>
  <si>
    <t>https://en.wikipedia.org/wiki/Soviet_locomotive_class_VL19</t>
  </si>
  <si>
    <t>electric_Germany_DRG_E18</t>
  </si>
  <si>
    <t>DRG E18</t>
  </si>
  <si>
    <t>https://en.wikipedia.org/wiki/DRG_Class_E_18</t>
  </si>
  <si>
    <t>emu_UK_BR_Class_895</t>
  </si>
  <si>
    <t>BR Class 895 'HS2'</t>
  </si>
  <si>
    <t>https://en.wikipedia.org/wiki/British_Rail_Class_895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</si>
</sst>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00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12">
      <pivotArea field="3" type="button" dataOnly="0" labelOnly="1" outline="0" axis="axisCol" fieldPosition="0"/>
    </format>
    <format dxfId="211">
      <pivotArea field="8" type="button" dataOnly="0" labelOnly="1" outline="0" axis="axisPage" fieldPosition="2"/>
    </format>
    <format dxfId="21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09">
      <pivotArea field="3" type="button" dataOnly="0" labelOnly="1" outline="0" axis="axisCol" fieldPosition="0"/>
    </format>
    <format dxfId="208">
      <pivotArea field="8" type="button" dataOnly="0" labelOnly="1" outline="0"/>
    </format>
    <format dxfId="20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06">
      <pivotArea field="3" type="button" dataOnly="0" labelOnly="1" outline="0" axis="axisCol" fieldPosition="0"/>
    </format>
    <format dxfId="205">
      <pivotArea field="15" type="button" dataOnly="0" labelOnly="1" outline="0" axis="axisPage" fieldPosition="2"/>
    </format>
    <format dxfId="20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03">
      <pivotArea field="3" type="button" dataOnly="0" labelOnly="1" outline="0" axis="axisCol" fieldPosition="0"/>
    </format>
    <format dxfId="202">
      <pivotArea field="9" type="button" dataOnly="0" labelOnly="1" outline="0" axis="axisPage" fieldPosition="1"/>
    </format>
    <format dxfId="201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200">
      <pivotArea field="3" type="button" dataOnly="0" labelOnly="1" outline="0" axis="axisCol" fieldPosition="0"/>
    </format>
    <format dxfId="199">
      <pivotArea field="16" type="button" dataOnly="0" labelOnly="1" outline="0" axis="axisPage" fieldPosition="2"/>
    </format>
    <format dxfId="198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97">
      <pivotArea field="3" type="button" dataOnly="0" labelOnly="1" outline="0" axis="axisCol" fieldPosition="0"/>
    </format>
    <format dxfId="196">
      <pivotArea field="12" type="button" dataOnly="0" labelOnly="1" outline="0" axis="axisPage" fieldPosition="2"/>
    </format>
    <format dxfId="195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9">
      <pivotArea field="3" type="button" dataOnly="0" labelOnly="1" outline="0" axis="axisCol" fieldPosition="0"/>
    </format>
    <format dxfId="10">
      <pivotArea field="12" type="button" dataOnly="0" labelOnly="1" outline="0"/>
    </format>
    <format dxfId="11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94">
      <pivotArea field="3" type="button" dataOnly="0" labelOnly="1" outline="0" axis="axisCol" fieldPosition="0"/>
    </format>
    <format dxfId="193">
      <pivotArea field="11" type="button" dataOnly="0" labelOnly="1" outline="0" axis="axisPage" fieldPosition="2"/>
    </format>
    <format dxfId="19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91">
      <pivotArea field="3" type="button" dataOnly="0" labelOnly="1" outline="0" axis="axisCol" fieldPosition="0"/>
    </format>
    <format dxfId="190">
      <pivotArea field="10" type="button" dataOnly="0" labelOnly="1" outline="0" axis="axisPage" fieldPosition="2"/>
    </format>
    <format dxfId="18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85" totalsRowShown="0" headerRowDxfId="272">
  <autoFilter ref="A1:Q985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71">
      <calculatedColumnFormula>_xlfn.TEXTAFTER(CONTROL[[#This Row],[VEHIDCODE]],"_")</calculatedColumnFormula>
    </tableColumn>
    <tableColumn id="3" xr3:uid="{58AEBD72-A51F-449B-AF75-94BF72F5E83B}" name="SAVE_TO" dataDxfId="270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69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68"/>
    <tableColumn id="17" xr3:uid="{52550B53-5A6E-4D0B-A358-FCA22B56CC77}" name="WEB"/>
    <tableColumn id="15" xr3:uid="{C9DBDDFF-A526-4383-A426-8408C4B17785}" name="IS_POWERED_UNPOWERED_SUNDRY" dataDxfId="26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66">
      <calculatedColumnFormula>ISNUMBER(_xlfn.XMATCH(CONTROL[[#This Row],[VEHIDCODE]],TRACK_TYPES[VEHIDCODE],0))</calculatedColumnFormula>
    </tableColumn>
    <tableColumn id="14" xr3:uid="{222C2DB1-CA5D-4369-995A-6A316AC5C947}" name="PROPERTIES" dataDxfId="265">
      <calculatedColumnFormula>ISNUMBER(_xlfn.XMATCH(CONTROL[[#This Row],[VEHIDCODE]],PROPERTIES[VEHIDCODE],0))</calculatedColumnFormula>
    </tableColumn>
    <tableColumn id="13" xr3:uid="{473FD571-A166-4EC8-8B7B-F1D30044570B}" name="FLAGS" dataDxfId="264">
      <calculatedColumnFormula>ISNUMBER(_xlfn.XMATCH(CONTROL[[#This Row],[VEHIDCODE]],FLAGS[VEHIDCODE],0))</calculatedColumnFormula>
    </tableColumn>
    <tableColumn id="11" xr3:uid="{B1BAE31E-1DA6-4159-9020-DBAE19ECF7C3}" name="ROSTER" dataDxfId="263">
      <calculatedColumnFormula>ISNUMBER(_xlfn.XLOOKUP(CONTROL[[#This Row],[VEHIDCODE]],roster!A:A,roster!D:D))</calculatedColumnFormula>
    </tableColumn>
    <tableColumn id="10" xr3:uid="{7783F713-60B4-45CF-AEB3-EE02271B3D6F}" name="GRAPHICS_PROPERTIES" dataDxfId="262">
      <calculatedColumnFormula>ISNUMBER(_xlfn.XMATCH(CONTROL[[#This Row],[VEHIDCODE]],GRAPHICS_PROPERTIES[VEHIDCODE],0))</calculatedColumnFormula>
    </tableColumn>
    <tableColumn id="9" xr3:uid="{7B229E25-CF6B-4C5F-B4A4-FEC34CB93E9B}" name="ITEM" dataDxfId="261">
      <calculatedColumnFormula>"item_"&amp;CONTROL[[#This Row],[VEHIDCODE]]</calculatedColumnFormula>
    </tableColumn>
    <tableColumn id="8" xr3:uid="{327E5CDA-51AE-4721-ACBD-5E8C3D890998}" name="NAME" dataDxfId="260">
      <calculatedColumnFormula>"str_"&amp;CONTROL[[#This Row],[VEHIDCODE]]</calculatedColumnFormula>
    </tableColumn>
    <tableColumn id="12" xr3:uid="{EFC553E2-02F2-4304-B3F9-158BFEF75D95}" name="EXCLUDE_READONLY" dataDxfId="259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85" totalsRowShown="0" headerRowDxfId="299">
  <autoFilter ref="A1:AH985" xr:uid="{6DCCB998-B5D1-4B0D-8701-BC0E171A94CA}"/>
  <tableColumns count="34">
    <tableColumn id="1" xr3:uid="{173D09BF-30BA-4FF2-B4FE-F09962415DA2}" name="VEHIDCODE" dataDxfId="298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97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296"/>
    <tableColumn id="19" xr3:uid="{FD65B400-35DE-464D-97AA-B59BB7DAE7DB}" name="COUNTRY_CODE" dataDxfId="295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94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93"/>
    <tableColumn id="31" xr3:uid="{26514010-6CAE-4146-9174-85EE3D7D1091}" name="LOADINGSPEED" dataDxfId="292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9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90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8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88"/>
    <tableColumn id="24" xr3:uid="{FFD5C22B-7B16-440D-91CC-48C8761050DA}" name="TE_COEFFICIENT_CALC" dataDxfId="28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86"/>
    <tableColumn id="14" xr3:uid="{123AAB87-6D4C-406A-A5E1-A61DC2DDFFEE}" name="TE_COEFFICIENT" dataDxfId="28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84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83"/>
    <tableColumn id="15" xr3:uid="{3558C882-A912-4F84-BDE6-BC0A2A676C4B}" name="WAGON_LENGTH" dataDxfId="282"/>
    <tableColumn id="30" xr3:uid="{235283C1-F061-434B-8C4A-AD474FB16FE8}" name="REGION1" dataDxfId="281"/>
    <tableColumn id="29" xr3:uid="{19EC58E3-4FB9-44BC-BFFA-4C7DCCC53DA8}" name="REGION2" dataDxfId="280"/>
    <tableColumn id="27" xr3:uid="{C00DC499-0060-4E48-A71D-AE565097985F}" name="REGION3" dataDxfId="279"/>
    <tableColumn id="56" xr3:uid="{188F57E8-1157-47DF-9E8F-B5F737649F6C}" name="PURCHASECOST_VALUE" dataDxfId="278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77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7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75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74"/>
    <tableColumn id="9" xr3:uid="{19FCF859-005A-4696-BB66-C378C763CAEF}" name="EXCLUDE" dataDxfId="27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85" totalsRowShown="0" headerRowDxfId="258">
  <autoFilter ref="A1:AJ985" xr:uid="{6DCCB998-B5D1-4B0D-8701-BC0E171A94CA}"/>
  <tableColumns count="36">
    <tableColumn id="1" xr3:uid="{CDEAF13A-A986-4600-A992-A08C1CA6142C}" name="VEHIDCODE" dataDxfId="257"/>
    <tableColumn id="55" xr3:uid="{839D134C-3027-42F4-BA04-3BA8BFF71A3B}" name="TRACK_TYPE_STANDARD_GAUGE_RAILTYPE_OHLE" dataDxfId="256"/>
    <tableColumn id="54" xr3:uid="{5D83FD10-ABCB-4FE7-A7DB-4A857A58D719}" name="TRACK_TYPE_STANDARD_GAUGE_RAILTYPE_25KV" dataDxfId="255"/>
    <tableColumn id="53" xr3:uid="{56183170-0B7F-45FB-91B4-356C62C246AD}" name="TRACK_TYPE_STANDARD_GAUGE_RAILTYPE_15KV" dataDxfId="254"/>
    <tableColumn id="52" xr3:uid="{5B71BE07-0EB9-4DEB-A8E8-252C9D979AC2}" name="TRACK_TYPE_STANDARD_GAUGE_RAILTYPE_3KV" dataDxfId="253"/>
    <tableColumn id="51" xr3:uid="{5A6435EB-111E-4AED-A8E1-AEFF82C34393}" name="TRACK_TYPE_STANDARD_GAUGE_RAILTYPE_1500V" dataDxfId="252"/>
    <tableColumn id="50" xr3:uid="{14CA70EA-0EE7-44BA-9D77-FC902C0596DD}" name="TRACK_TYPE_STANDARD_GAUGE_RAILTYPE_3RD" dataDxfId="251"/>
    <tableColumn id="49" xr3:uid="{3A15447A-9663-43FB-8EFF-8F8034548FB0}" name="TRACK_TYPE_STANDARD_GAUGE_RAILTYPE_4TH" dataDxfId="250"/>
    <tableColumn id="48" xr3:uid="{E44E324A-492F-4566-8DC9-0A6F58F40EA9}" name="TRACK_TYPE_STANDARD_GAUGE_RAILTYPE_DUAL" dataDxfId="249"/>
    <tableColumn id="47" xr3:uid="{FE3223C6-E685-4456-91E9-10AEB3B699E7}" name="TRACK_TYPE_STANDARD_GAUGE_RAILTYPE_NONE" dataDxfId="248"/>
    <tableColumn id="46" xr3:uid="{D39969E8-C0CA-4A59-A556-D29019991069}" name="TRACK_TYPE_NARROW_GAUGE_RAILTYPE_OHLE" dataDxfId="247"/>
    <tableColumn id="45" xr3:uid="{5266A9E9-D840-4460-AB81-A081897372F3}" name="TRACK_TYPE_NARROW_GAUGE_RAILTYPE_25KV" dataDxfId="246"/>
    <tableColumn id="44" xr3:uid="{7B4C44D1-C745-4291-86A0-777579742A84}" name="TRACK_TYPE_NARROW_GAUGE_RAILTYPE_15KV" dataDxfId="245"/>
    <tableColumn id="43" xr3:uid="{8736D285-A163-4DBE-84E1-870118B47F14}" name="TRACK_TYPE_NARROW_GAUGE_RAILTYPE_3KV" dataDxfId="244"/>
    <tableColumn id="42" xr3:uid="{6FBBA2FB-4743-4072-B4E0-C42BBDA1CC47}" name="TRACK_TYPE_NARROW_GAUGE_RAILTYPE_1500V" dataDxfId="243"/>
    <tableColumn id="41" xr3:uid="{D3ED2E70-19BF-4D92-A76B-0F0F03D31947}" name="TRACK_TYPE_NARROW_GAUGE_RAILTYPE_3RD" dataDxfId="242"/>
    <tableColumn id="40" xr3:uid="{F38AE7AF-B798-40A5-992A-13685296E710}" name="TRACK_TYPE_NARROW_GAUGE_RAILTYPE_4TH" dataDxfId="241"/>
    <tableColumn id="39" xr3:uid="{16463F64-2239-4E7F-8257-47F324BF8959}" name="TRACK_TYPE_NARROW_GAUGE_RAILTYPE_DUAL" dataDxfId="240"/>
    <tableColumn id="38" xr3:uid="{97037A15-9172-4057-863E-582804353817}" name="TRACK_TYPE_NARROW_GAUGE_RAILTYPE_NONE" dataDxfId="239"/>
    <tableColumn id="37" xr3:uid="{24999D59-5A4F-4A21-B8B4-EBDBF9F8BF1E}" name="TRACK_TYPE_BROAD_GAUGE_RAILTYPE_OHLE" dataDxfId="238"/>
    <tableColumn id="36" xr3:uid="{31AB3927-D18B-49AD-8EF5-C7E9FF4CEDF3}" name="TRACK_TYPE_BROAD_GAUGE_RAILTYPE_25KV" dataDxfId="237"/>
    <tableColumn id="35" xr3:uid="{CB3432E7-4DAE-4807-9CE5-4CB1ACECD395}" name="TRACK_TYPE_BROAD_GAUGE_RAILTYPE_15KV" dataDxfId="236"/>
    <tableColumn id="34" xr3:uid="{E3936FE4-2B46-4DC0-84C0-44C7892A0927}" name="TRACK_TYPE_BROAD_GAUGE_RAILTYPE_3KV" dataDxfId="235"/>
    <tableColumn id="33" xr3:uid="{A5FAA105-CF81-4A75-8967-5721104454E8}" name="TRACK_TYPE_BROAD_GAUGE_RAILTYPE_1500V" dataDxfId="234"/>
    <tableColumn id="32" xr3:uid="{439CDFDE-6BFC-446C-87CF-28C8FF65FCE0}" name="TRACK_TYPE_BROAD_GAUGE_RAILTYPE_3RD" dataDxfId="233"/>
    <tableColumn id="31" xr3:uid="{219AB5E3-CDFF-41B3-BD58-F7427606D15F}" name="TRACK_TYPE_BROAD_GAUGE_RAILTYPE_4TH" dataDxfId="232"/>
    <tableColumn id="30" xr3:uid="{01529768-EA0D-4662-B835-74641896CE3F}" name="TRACK_TYPE_BROAD_GAUGE_RAILTYPE_DUAL" dataDxfId="231"/>
    <tableColumn id="29" xr3:uid="{32C384AB-18DB-4161-B29B-A363A2547BB2}" name="TRACK_TYPE_BROAD_GAUGE_RAILTYPE_NONE" dataDxfId="230"/>
    <tableColumn id="26" xr3:uid="{1CFC6F26-22A8-42EE-972B-0F7ED6623B5A}" name="TRACK_TYPE_MONO" dataDxfId="229"/>
    <tableColumn id="25" xr3:uid="{62939270-15C1-494E-9C53-6EA9E8209C3B}" name="TRACK_TYPE_MGLV" dataDxfId="228"/>
    <tableColumn id="24" xr3:uid="{9DA86EDA-F2AB-4C2D-918E-5260313FD8B3}" name="TRACK_TYPE_MTRO" dataDxfId="227"/>
    <tableColumn id="21" xr3:uid="{E6F11214-E912-4D1C-980D-A111C93B0BED}" name="CHECK_ANY_TT" dataDxfId="226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25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24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23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22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21">
  <autoFilter ref="A1:I1059" xr:uid="{6DCCB998-B5D1-4B0D-8701-BC0E171A94CA}"/>
  <tableColumns count="9">
    <tableColumn id="1" xr3:uid="{327CDBB6-E1D6-4B9F-9625-C81419775134}" name="VEHIDCODE" dataDxfId="220"/>
    <tableColumn id="101" xr3:uid="{78690AEB-EA8F-4FC7-9651-C84D8F318EE9}" name="MISC_FLAGS_TRAIN_FLAG_2CC" dataDxfId="219"/>
    <tableColumn id="100" xr3:uid="{90DBB1A2-A86F-42C6-B2B8-64A2FD6690AB}" name="MISC_FLAGS_TRAIN_FLAG_MU" dataDxfId="218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17"/>
    <tableColumn id="99" xr3:uid="{DA6644B2-20CC-47E2-B1B5-10210B43738A}" name="MISC_FLAGS_TRAIN_FLAG_AUTOREFIT" dataDxfId="216"/>
    <tableColumn id="2" xr3:uid="{A8915D24-2B2E-4529-B3DE-30BEE23C370F}" name="VEHICLE_FLAG_TRAIN_HAS_CAB" dataDxfId="215"/>
    <tableColumn id="108" xr3:uid="{980A5687-92C0-42A0-811D-C3D4EA0876D1}" name="VISUAL_EFFECT_1" dataDxfId="214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13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88" headerRowBorderDxfId="187" tableBorderDxfId="18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85" headerRowBorderDxfId="184" tableBorderDxfId="18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0" totalsRowShown="0">
  <autoFilter ref="A1:A20" xr:uid="{0B243503-43AD-403A-90CE-B69D05B25C30}"/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82" dataDxfId="181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80"/>
    <tableColumn id="2" xr3:uid="{CCC9A744-4F42-4023-A516-9395213016EB}" name="COUNTRY_DESCRIPTION" dataDxfId="179"/>
    <tableColumn id="3" xr3:uid="{01E32DA0-BF93-49AA-BE03-33EF914A0BCC}" name="COUNTS" dataDxfId="178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76" headerRowBorderDxfId="177" tableBorderDxfId="175" totalsRowBorderDxfId="174">
  <autoFilter ref="K1:K24" xr:uid="{686D0694-AFBC-4B91-A3D3-72E1CCF00B7D}"/>
  <tableColumns count="1">
    <tableColumn id="1" xr3:uid="{7F0999BD-E0C9-463F-A054-2DA49D41A9EE}" name="VEHID_ID_CATEGORY" dataDxfId="17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72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71"/>
    <tableColumn id="4" xr3:uid="{3DDC8685-BA3D-40E8-A910-1E59013A762D}" name="Range End" dataDxfId="170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69" dataDxfId="168">
  <autoFilter ref="A1:N16" xr:uid="{863AE95D-BE34-47D8-B01B-1170BF25FDF2}"/>
  <tableColumns count="14">
    <tableColumn id="1" xr3:uid="{5F487593-655E-41B5-B155-86F88B53946D}" name="COST_CAT" dataDxfId="167"/>
    <tableColumn id="2" xr3:uid="{33F9C454-EDB2-4DA7-BF7A-64CBC12EBC9B}" name="P1" dataDxfId="166"/>
    <tableColumn id="3" xr3:uid="{25FB11D0-082D-4DE3-9821-1367939D8742}" name="P2" dataDxfId="165"/>
    <tableColumn id="4" xr3:uid="{19CDF402-C641-4217-A953-2A851DF85ADB}" name="P3" dataDxfId="164"/>
    <tableColumn id="5" xr3:uid="{1EF59E2C-32FF-4712-AD89-CBF77E507832}" name="P4" dataDxfId="163"/>
    <tableColumn id="6" xr3:uid="{04250F90-183D-4392-BE27-C420F795E1DC}" name="P5" dataDxfId="162"/>
    <tableColumn id="7" xr3:uid="{F7062C4F-5B57-4110-A21E-BDC8820130D9}" name="P6" dataDxfId="161"/>
    <tableColumn id="8" xr3:uid="{B47621AA-9D6F-4396-B3D9-BD8CF656F30E}" name="P7" dataDxfId="160"/>
    <tableColumn id="9" xr3:uid="{7055539E-C4C8-407D-91F5-6CB021EDE84F}" name="R1" dataDxfId="159"/>
    <tableColumn id="10" xr3:uid="{D17981EB-EB8A-4630-958C-3792D72CD53F}" name="R2" dataDxfId="158"/>
    <tableColumn id="11" xr3:uid="{85EDD15A-812B-4C42-B03A-D558B807622E}" name="R3" dataDxfId="157"/>
    <tableColumn id="12" xr3:uid="{61A73E38-33EC-41D1-B899-56F15EDBDD59}" name="R4" dataDxfId="156"/>
    <tableColumn id="13" xr3:uid="{7A83ADCF-C18F-402F-81A8-0F935E928ED9}" name="R5" dataDxfId="155"/>
    <tableColumn id="14" xr3:uid="{1140F6C7-9C3D-4800-9F3B-DC6E6EBE9541}" name="R6" dataDxfId="15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85"/>
  <sheetViews>
    <sheetView workbookViewId="0">
      <pane xSplit="1" ySplit="1" topLeftCell="B967" activePane="bottomRight" state="frozen"/>
      <selection pane="topRight" activeCell="B1" sqref="B1"/>
      <selection pane="bottomLeft" activeCell="A2" sqref="A2"/>
      <selection pane="bottomRight" activeCell="G985" sqref="G985"/>
    </sheetView>
  </sheetViews>
  <sheetFormatPr defaultRowHeight="14.6"/>
  <cols>
    <col min="1" max="1" width="50.69140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38" bestFit="1" customWidth="1"/>
    <col min="7" max="7" width="10.84375" customWidth="1"/>
    <col min="8" max="8" width="13.921875" customWidth="1"/>
    <col min="9" max="9" width="11.23046875" style="2" customWidth="1"/>
    <col min="15" max="15" width="55.2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937</v>
      </c>
      <c r="E1" s="6" t="s">
        <v>891</v>
      </c>
      <c r="F1" s="37" t="s">
        <v>2410</v>
      </c>
      <c r="G1" s="5" t="s">
        <v>2235</v>
      </c>
      <c r="H1" s="6" t="s">
        <v>1015</v>
      </c>
      <c r="I1" s="6" t="s">
        <v>888</v>
      </c>
      <c r="J1" s="6" t="s">
        <v>1011</v>
      </c>
      <c r="K1" s="6" t="s">
        <v>1014</v>
      </c>
      <c r="L1" s="6" t="s">
        <v>1013</v>
      </c>
      <c r="M1" s="6" t="s">
        <v>2951</v>
      </c>
      <c r="N1" s="6" t="s">
        <v>1012</v>
      </c>
      <c r="O1" s="6" t="s">
        <v>680</v>
      </c>
      <c r="P1" s="6" t="s">
        <v>681</v>
      </c>
      <c r="Q1" s="6" t="s">
        <v>3401</v>
      </c>
    </row>
    <row r="2" spans="1:17">
      <c r="A2" s="2" t="s">
        <v>709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1016</v>
      </c>
      <c r="G2" t="s">
        <v>1688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1016</v>
      </c>
      <c r="G3" t="s">
        <v>1688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2953</v>
      </c>
      <c r="G4" t="s">
        <v>2219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1017</v>
      </c>
      <c r="G5" t="s">
        <v>2220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1018</v>
      </c>
      <c r="G6" t="s">
        <v>2221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1019</v>
      </c>
      <c r="G7" t="s">
        <v>2222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1020</v>
      </c>
      <c r="G8" t="s">
        <v>2224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1021</v>
      </c>
      <c r="G9" t="s">
        <v>2223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1022</v>
      </c>
      <c r="G10" t="s">
        <v>2225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2992</v>
      </c>
      <c r="G11" t="s">
        <v>2227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1023</v>
      </c>
      <c r="G12" t="s">
        <v>2226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1024</v>
      </c>
      <c r="G13" t="s">
        <v>2228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1025</v>
      </c>
      <c r="G14" t="s">
        <v>2229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2954</v>
      </c>
      <c r="G15" t="s">
        <v>2230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1026</v>
      </c>
      <c r="G16" t="s">
        <v>2231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1027</v>
      </c>
      <c r="G17" t="s">
        <v>2232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1028</v>
      </c>
      <c r="G18" t="s">
        <v>2233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1029</v>
      </c>
      <c r="G19" t="s">
        <v>2234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2237</v>
      </c>
      <c r="G20" t="s">
        <v>2236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1030</v>
      </c>
      <c r="G21" t="s">
        <v>2238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1031</v>
      </c>
      <c r="G22" t="s">
        <v>2239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2955</v>
      </c>
      <c r="G23" t="s">
        <v>2240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1032</v>
      </c>
      <c r="G24" t="s">
        <v>2241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2972</v>
      </c>
      <c r="G25" t="s">
        <v>2242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1033</v>
      </c>
      <c r="G26" t="s">
        <v>2243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1034</v>
      </c>
      <c r="G27" t="s">
        <v>2244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2245</v>
      </c>
      <c r="G28" t="s">
        <v>2246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1035</v>
      </c>
      <c r="G29" t="s">
        <v>2247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2249</v>
      </c>
      <c r="G30" t="s">
        <v>2248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1036</v>
      </c>
      <c r="G31" t="s">
        <v>2250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1037</v>
      </c>
      <c r="G32" t="s">
        <v>2251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1038</v>
      </c>
      <c r="G33" t="s">
        <v>2252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2973</v>
      </c>
      <c r="G34" t="s">
        <v>2253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1039</v>
      </c>
      <c r="G35" t="s">
        <v>2254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2257</v>
      </c>
      <c r="G36" t="s">
        <v>2256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1040</v>
      </c>
      <c r="G37" t="s">
        <v>2255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2974</v>
      </c>
      <c r="G38" t="s">
        <v>2258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2260</v>
      </c>
      <c r="G39" t="s">
        <v>2259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1041</v>
      </c>
      <c r="G40" t="s">
        <v>2261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1042</v>
      </c>
      <c r="G41" t="s">
        <v>2262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2264</v>
      </c>
      <c r="G42" t="s">
        <v>2263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2947</v>
      </c>
      <c r="G43" t="s">
        <v>2265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1043</v>
      </c>
      <c r="G44" t="s">
        <v>2266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2267</v>
      </c>
      <c r="G45" t="s">
        <v>2268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2269</v>
      </c>
      <c r="G46" t="s">
        <v>2270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1044</v>
      </c>
      <c r="G47" t="s">
        <v>2271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2975</v>
      </c>
      <c r="G48" t="s">
        <v>2272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2274</v>
      </c>
      <c r="G49" t="s">
        <v>2273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2976</v>
      </c>
      <c r="G50" t="s">
        <v>2275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1045</v>
      </c>
      <c r="G51" t="s">
        <v>2276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1046</v>
      </c>
      <c r="G52" t="s">
        <v>2277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2280</v>
      </c>
      <c r="G53" t="s">
        <v>2279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2948</v>
      </c>
      <c r="G54" t="s">
        <v>2278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1047</v>
      </c>
      <c r="G55" t="s">
        <v>2281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1048</v>
      </c>
      <c r="G56" t="s">
        <v>2282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1049</v>
      </c>
      <c r="G57" t="s">
        <v>2283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1696</v>
      </c>
      <c r="G58" t="s">
        <v>2284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1050</v>
      </c>
      <c r="G59" t="s">
        <v>2285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2956</v>
      </c>
      <c r="G60" t="s">
        <v>2286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1051</v>
      </c>
      <c r="G61" t="s">
        <v>2287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1052</v>
      </c>
      <c r="G62" t="s">
        <v>2288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1053</v>
      </c>
      <c r="G63" t="s">
        <v>2289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1054</v>
      </c>
      <c r="G64" t="s">
        <v>2290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1055</v>
      </c>
      <c r="G65" t="s">
        <v>2291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1056</v>
      </c>
      <c r="G66" t="s">
        <v>2292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1057</v>
      </c>
      <c r="G67" t="s">
        <v>2293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1058</v>
      </c>
      <c r="G68" t="s">
        <v>2294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1059</v>
      </c>
      <c r="G69" t="s">
        <v>2295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1060</v>
      </c>
      <c r="G70" t="s">
        <v>2296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2964</v>
      </c>
      <c r="G71" t="s">
        <v>2297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1061</v>
      </c>
      <c r="G72" t="s">
        <v>2298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1062</v>
      </c>
      <c r="G73" t="s">
        <v>2299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1063</v>
      </c>
      <c r="G74" t="s">
        <v>2300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1064</v>
      </c>
      <c r="G75" t="s">
        <v>2301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1065</v>
      </c>
      <c r="G76" t="s">
        <v>2302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1066</v>
      </c>
      <c r="G77" t="s">
        <v>2303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2965</v>
      </c>
      <c r="G78" t="s">
        <v>2304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1067</v>
      </c>
      <c r="G79" t="s">
        <v>2305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1068</v>
      </c>
      <c r="G80" t="s">
        <v>2306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1069</v>
      </c>
      <c r="G81" t="s">
        <v>2887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1070</v>
      </c>
      <c r="G82" t="s">
        <v>2886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2308</v>
      </c>
      <c r="G83" t="s">
        <v>2307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2309</v>
      </c>
      <c r="G84" t="s">
        <v>2310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2311</v>
      </c>
      <c r="G85" t="s">
        <v>2312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2313</v>
      </c>
      <c r="G86" t="s">
        <v>2314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1071</v>
      </c>
      <c r="G87" t="s">
        <v>2315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1072</v>
      </c>
      <c r="G88" t="s">
        <v>2316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1073</v>
      </c>
      <c r="G89" t="s">
        <v>2317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1074</v>
      </c>
      <c r="G90" t="s">
        <v>2318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1075</v>
      </c>
      <c r="G91" t="s">
        <v>2319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1076</v>
      </c>
      <c r="G92" t="s">
        <v>2888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2882</v>
      </c>
      <c r="G93" t="s">
        <v>2883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1077</v>
      </c>
      <c r="G94" t="s">
        <v>2320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2207</v>
      </c>
      <c r="G95" t="s">
        <v>2321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1078</v>
      </c>
      <c r="G96" t="s">
        <v>2322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1079</v>
      </c>
      <c r="G97" t="s">
        <v>2323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1080</v>
      </c>
      <c r="G98" t="s">
        <v>2324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1081</v>
      </c>
      <c r="G99" t="s">
        <v>2325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2326</v>
      </c>
      <c r="G100" t="s">
        <v>2327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1082</v>
      </c>
      <c r="G101" t="s">
        <v>2328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2880</v>
      </c>
      <c r="G102" t="s">
        <v>2329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1083</v>
      </c>
      <c r="G103" t="s">
        <v>2330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1084</v>
      </c>
      <c r="G104" t="s">
        <v>2331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1085</v>
      </c>
      <c r="G105" t="s">
        <v>2332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1086</v>
      </c>
      <c r="G106" t="s">
        <v>2333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1087</v>
      </c>
      <c r="G107" t="s">
        <v>2334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1088</v>
      </c>
      <c r="G108" t="s">
        <v>2335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1089</v>
      </c>
      <c r="G109" t="s">
        <v>2337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1090</v>
      </c>
      <c r="G110" t="s">
        <v>2336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1091</v>
      </c>
      <c r="G111" t="s">
        <v>2338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2203</v>
      </c>
      <c r="G112" t="s">
        <v>2339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1092</v>
      </c>
      <c r="G113" t="s">
        <v>2340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1093</v>
      </c>
      <c r="G114" t="s">
        <v>2341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1094</v>
      </c>
      <c r="G115" t="s">
        <v>2342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1095</v>
      </c>
      <c r="G116" t="s">
        <v>2343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2344</v>
      </c>
      <c r="G117" t="s">
        <v>2345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3025</v>
      </c>
      <c r="G118" t="s">
        <v>2346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1096</v>
      </c>
      <c r="G119" t="s">
        <v>2347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2202</v>
      </c>
      <c r="G120" t="s">
        <v>2348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1097</v>
      </c>
      <c r="G121" t="s">
        <v>2349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1098</v>
      </c>
      <c r="G122" t="s">
        <v>2350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1099</v>
      </c>
      <c r="G123" t="s">
        <v>2351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2890</v>
      </c>
      <c r="G124" t="s">
        <v>2352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1100</v>
      </c>
      <c r="G125" t="s">
        <v>2353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1101</v>
      </c>
      <c r="G126" t="s">
        <v>2354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2949</v>
      </c>
      <c r="G127" t="s">
        <v>1688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1102</v>
      </c>
      <c r="G128" t="s">
        <v>2355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1103</v>
      </c>
      <c r="G129" t="s">
        <v>2356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1104</v>
      </c>
      <c r="G130" t="s">
        <v>2357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2885</v>
      </c>
      <c r="G131" t="s">
        <v>2884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1105</v>
      </c>
      <c r="G132" t="s">
        <v>2358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1106</v>
      </c>
      <c r="G133" t="s">
        <v>2359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1107</v>
      </c>
      <c r="G134" t="s">
        <v>2360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1108</v>
      </c>
      <c r="G135" t="s">
        <v>2361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1109</v>
      </c>
      <c r="G136" t="s">
        <v>2362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1110</v>
      </c>
      <c r="G137" t="s">
        <v>2364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3252</v>
      </c>
      <c r="G138" t="s">
        <v>3251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1111</v>
      </c>
      <c r="G139" t="s">
        <v>2365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1112</v>
      </c>
      <c r="G140" t="s">
        <v>2366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1113</v>
      </c>
      <c r="G141" t="s">
        <v>2367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1114</v>
      </c>
      <c r="G142" t="s">
        <v>2368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1115</v>
      </c>
      <c r="G143" t="s">
        <v>2369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1116</v>
      </c>
      <c r="G144" t="s">
        <v>2370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1117</v>
      </c>
      <c r="G145" t="s">
        <v>2371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2881</v>
      </c>
      <c r="G146" t="s">
        <v>2372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1118</v>
      </c>
      <c r="G147" t="s">
        <v>2373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1694</v>
      </c>
      <c r="G148" t="s">
        <v>2374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1119</v>
      </c>
      <c r="G149" t="s">
        <v>2376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1120</v>
      </c>
      <c r="G150" t="s">
        <v>2375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2378</v>
      </c>
      <c r="G151" t="s">
        <v>2377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1121</v>
      </c>
      <c r="G152" t="s">
        <v>2379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1122</v>
      </c>
      <c r="G153" t="s">
        <v>2380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1123</v>
      </c>
      <c r="G154" t="s">
        <v>2381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1124</v>
      </c>
      <c r="G155" t="s">
        <v>2382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1125</v>
      </c>
      <c r="G156" t="s">
        <v>2383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2977</v>
      </c>
      <c r="G157" t="s">
        <v>2384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1126</v>
      </c>
      <c r="G158" t="s">
        <v>2385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2966</v>
      </c>
      <c r="G159" t="s">
        <v>2386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2967</v>
      </c>
      <c r="G160" t="s">
        <v>2387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2978</v>
      </c>
      <c r="G161" t="s">
        <v>2889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1127</v>
      </c>
      <c r="G162" t="s">
        <v>2388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2991</v>
      </c>
      <c r="G163" t="s">
        <v>2389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1128</v>
      </c>
      <c r="G164" t="s">
        <v>2390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1129</v>
      </c>
      <c r="G165" t="s">
        <v>2391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1130</v>
      </c>
      <c r="G166" t="s">
        <v>2392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2950</v>
      </c>
      <c r="G167" t="s">
        <v>2393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1131</v>
      </c>
      <c r="G168" t="s">
        <v>2394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1132</v>
      </c>
      <c r="G169" t="s">
        <v>2395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2396</v>
      </c>
      <c r="G170" t="s">
        <v>2397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Row],[VEHIDCODE]],PROPERTIES[VEHIDCODE],PROPERTIES[EXCLUDE])</f>
        <v>1</v>
      </c>
    </row>
    <row r="171" spans="1:17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1133</v>
      </c>
      <c r="G171" t="s">
        <v>2398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1134</v>
      </c>
      <c r="G172" t="s">
        <v>2399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2400</v>
      </c>
      <c r="G173" t="s">
        <v>2402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1135</v>
      </c>
      <c r="G174" t="s">
        <v>2401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1136</v>
      </c>
      <c r="G175" t="s">
        <v>2403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1137</v>
      </c>
      <c r="G176" t="s">
        <v>2404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1138</v>
      </c>
      <c r="G177" t="s">
        <v>2405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1139</v>
      </c>
      <c r="G178" t="s">
        <v>2407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1140</v>
      </c>
      <c r="G179" t="s">
        <v>2406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1141</v>
      </c>
      <c r="G180" t="s">
        <v>2409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1142</v>
      </c>
      <c r="G181" t="s">
        <v>2411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1143</v>
      </c>
      <c r="G182" t="s">
        <v>2412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1144</v>
      </c>
      <c r="G183" t="s">
        <v>2413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1145</v>
      </c>
      <c r="G184" t="s">
        <v>2362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2414</v>
      </c>
      <c r="G185" t="s">
        <v>2415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3513</v>
      </c>
      <c r="G186" t="s">
        <v>2416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2957</v>
      </c>
      <c r="G187" t="s">
        <v>2417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1146</v>
      </c>
      <c r="G188" t="s">
        <v>2418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1147</v>
      </c>
      <c r="G189" t="s">
        <v>2419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2968</v>
      </c>
      <c r="G190" t="s">
        <v>2408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2969</v>
      </c>
      <c r="G191" t="s">
        <v>2420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1148</v>
      </c>
      <c r="G192" t="s">
        <v>2421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1149</v>
      </c>
      <c r="G193" t="s">
        <v>2422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1150</v>
      </c>
      <c r="G194" t="s">
        <v>2423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2979</v>
      </c>
      <c r="G195" t="s">
        <v>2424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1151</v>
      </c>
      <c r="G196" t="s">
        <v>2425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1152</v>
      </c>
      <c r="G197" t="s">
        <v>2426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1153</v>
      </c>
      <c r="G198" t="s">
        <v>2427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1154</v>
      </c>
      <c r="G199" t="s">
        <v>2428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1155</v>
      </c>
      <c r="G200" t="s">
        <v>2429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1156</v>
      </c>
      <c r="G201" t="s">
        <v>2430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1157</v>
      </c>
      <c r="G202" t="s">
        <v>2431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1158</v>
      </c>
      <c r="G203" t="s">
        <v>2432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1159</v>
      </c>
      <c r="G204" t="s">
        <v>2433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1160</v>
      </c>
      <c r="G205" t="s">
        <v>2434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3026</v>
      </c>
      <c r="G206" t="s">
        <v>2435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1161</v>
      </c>
      <c r="G207" t="s">
        <v>2436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1162</v>
      </c>
      <c r="G208" t="s">
        <v>2437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1163</v>
      </c>
      <c r="G209" t="s">
        <v>2438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1164</v>
      </c>
      <c r="G210" t="s">
        <v>2439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3195</v>
      </c>
      <c r="G211" t="s">
        <v>2440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1165</v>
      </c>
      <c r="G212" t="s">
        <v>2441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1166</v>
      </c>
      <c r="G213" t="s">
        <v>2442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1167</v>
      </c>
      <c r="G214" t="s">
        <v>2443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892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1168</v>
      </c>
      <c r="G215" t="s">
        <v>2444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1169</v>
      </c>
      <c r="G216" t="s">
        <v>2445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1170</v>
      </c>
      <c r="G217" t="s">
        <v>2446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1171</v>
      </c>
      <c r="G218" t="s">
        <v>2447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1172</v>
      </c>
      <c r="G219" t="s">
        <v>2448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1173</v>
      </c>
      <c r="G220" t="s">
        <v>2449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1174</v>
      </c>
      <c r="G221" t="s">
        <v>2450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1175</v>
      </c>
      <c r="G222" t="s">
        <v>2451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2980</v>
      </c>
      <c r="G223" t="s">
        <v>2452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1176</v>
      </c>
      <c r="G224" t="s">
        <v>2893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1177</v>
      </c>
      <c r="G225" t="s">
        <v>2453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1178</v>
      </c>
      <c r="G226" t="s">
        <v>2454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1179</v>
      </c>
      <c r="G227" t="s">
        <v>2455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1180</v>
      </c>
      <c r="G228" t="s">
        <v>2456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1181</v>
      </c>
      <c r="G229" t="s">
        <v>2457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1182</v>
      </c>
      <c r="G230" t="s">
        <v>2458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1183</v>
      </c>
      <c r="G231" t="s">
        <v>2459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1184</v>
      </c>
      <c r="G232" t="s">
        <v>2460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3407</v>
      </c>
      <c r="G233" t="s">
        <v>2462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1657</v>
      </c>
      <c r="G234" t="s">
        <v>2463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1185</v>
      </c>
      <c r="G235" t="s">
        <v>2434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1186</v>
      </c>
      <c r="G236" t="s">
        <v>2464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3045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1187</v>
      </c>
      <c r="G237" t="s">
        <v>2465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1188</v>
      </c>
      <c r="G238" t="s">
        <v>2466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1189</v>
      </c>
      <c r="G239" t="s">
        <v>2467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1190</v>
      </c>
      <c r="G240" t="s">
        <v>2468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1191</v>
      </c>
      <c r="G241" t="s">
        <v>2469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1192</v>
      </c>
      <c r="G242" t="s">
        <v>2470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1193</v>
      </c>
      <c r="G243" t="s">
        <v>2471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2988</v>
      </c>
      <c r="G244" t="s">
        <v>2472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1194</v>
      </c>
      <c r="G245" t="s">
        <v>2473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1195</v>
      </c>
      <c r="G246" t="s">
        <v>2474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1196</v>
      </c>
      <c r="G247" t="s">
        <v>2476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1197</v>
      </c>
      <c r="G248" t="s">
        <v>2475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2989</v>
      </c>
      <c r="G249" t="s">
        <v>2477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1198</v>
      </c>
      <c r="G250" t="s">
        <v>2478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1199</v>
      </c>
      <c r="G251" t="s">
        <v>2479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1200</v>
      </c>
      <c r="G252" t="s">
        <v>2480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1201</v>
      </c>
      <c r="G253" t="s">
        <v>2481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1202</v>
      </c>
      <c r="G254" t="s">
        <v>2482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1203</v>
      </c>
      <c r="G255" t="s">
        <v>2483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1204</v>
      </c>
      <c r="G256" t="s">
        <v>2484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1205</v>
      </c>
      <c r="G257" t="s">
        <v>2485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1206</v>
      </c>
      <c r="G258" t="s">
        <v>2486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1207</v>
      </c>
      <c r="G259" t="s">
        <v>2487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1208</v>
      </c>
      <c r="G260" t="s">
        <v>2488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2990</v>
      </c>
      <c r="G261" t="s">
        <v>2489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1209</v>
      </c>
      <c r="G262" t="s">
        <v>2490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1210</v>
      </c>
      <c r="G263" t="s">
        <v>2491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1211</v>
      </c>
      <c r="G264" t="s">
        <v>2492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1212</v>
      </c>
      <c r="G265" t="s">
        <v>2493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1213</v>
      </c>
      <c r="G266" t="s">
        <v>2494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1214</v>
      </c>
      <c r="G267" t="s">
        <v>2495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1215</v>
      </c>
      <c r="G268" t="s">
        <v>2393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1216</v>
      </c>
      <c r="G269" t="s">
        <v>2496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1217</v>
      </c>
      <c r="G270" t="s">
        <v>2497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1218</v>
      </c>
      <c r="G271" t="s">
        <v>2498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1219</v>
      </c>
      <c r="G272" t="s">
        <v>2499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1220</v>
      </c>
      <c r="G273" t="s">
        <v>2500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1221</v>
      </c>
      <c r="G274" t="s">
        <v>2501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2503</v>
      </c>
      <c r="G275" t="s">
        <v>2502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1222</v>
      </c>
      <c r="G276" t="s">
        <v>2504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1223</v>
      </c>
      <c r="G277" t="s">
        <v>2505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1224</v>
      </c>
      <c r="G278" t="s">
        <v>2506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1225</v>
      </c>
      <c r="G279" t="s">
        <v>2507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1226</v>
      </c>
      <c r="G280" t="s">
        <v>2508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1227</v>
      </c>
      <c r="G281" t="s">
        <v>2509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1228</v>
      </c>
      <c r="G282" t="s">
        <v>2510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1229</v>
      </c>
      <c r="G283" t="s">
        <v>2511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1230</v>
      </c>
      <c r="G284" t="s">
        <v>2512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1231</v>
      </c>
      <c r="G285" t="s">
        <v>2513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1232</v>
      </c>
      <c r="G286" t="s">
        <v>2514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1233</v>
      </c>
      <c r="G287" t="s">
        <v>2515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1234</v>
      </c>
      <c r="G288" t="s">
        <v>2516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1235</v>
      </c>
      <c r="G289" t="s">
        <v>2517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1236</v>
      </c>
      <c r="G290" t="s">
        <v>2518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1237</v>
      </c>
      <c r="G291" t="s">
        <v>2519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1238</v>
      </c>
      <c r="G292" t="s">
        <v>2520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1239</v>
      </c>
      <c r="G293" t="s">
        <v>2521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2205</v>
      </c>
      <c r="G294" t="s">
        <v>2522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1240</v>
      </c>
      <c r="G295" t="s">
        <v>2523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1241</v>
      </c>
      <c r="G296" t="s">
        <v>2524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1242</v>
      </c>
      <c r="G297" t="s">
        <v>2525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1243</v>
      </c>
      <c r="G298" t="s">
        <v>2526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1244</v>
      </c>
      <c r="G299" t="s">
        <v>2527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3046</v>
      </c>
      <c r="G300" t="s">
        <v>2528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1245</v>
      </c>
      <c r="G301" t="s">
        <v>2530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1246</v>
      </c>
      <c r="G302" t="s">
        <v>2531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1247</v>
      </c>
      <c r="G303" t="s">
        <v>2532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1248</v>
      </c>
      <c r="G304" t="s">
        <v>2535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1249</v>
      </c>
      <c r="G305" t="s">
        <v>2534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2537</v>
      </c>
      <c r="G306" t="s">
        <v>2533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1250</v>
      </c>
      <c r="G307" t="s">
        <v>2536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2539</v>
      </c>
      <c r="G308" t="s">
        <v>2538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1251</v>
      </c>
      <c r="G309" t="s">
        <v>2540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1252</v>
      </c>
      <c r="G310" t="s">
        <v>2541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1253</v>
      </c>
      <c r="G311" t="s">
        <v>2542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1254</v>
      </c>
      <c r="G312" t="s">
        <v>2543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1255</v>
      </c>
      <c r="G313" t="s">
        <v>2544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1256</v>
      </c>
      <c r="G314" t="s">
        <v>2545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1257</v>
      </c>
      <c r="G315" t="s">
        <v>2546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1258</v>
      </c>
      <c r="G316" t="s">
        <v>2529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1259</v>
      </c>
      <c r="G317" t="s">
        <v>2547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2548</v>
      </c>
      <c r="G318" t="s">
        <v>2549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2550</v>
      </c>
      <c r="G319" t="s">
        <v>2551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1260</v>
      </c>
      <c r="G320" t="s">
        <v>2552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1261</v>
      </c>
      <c r="G321" t="s">
        <v>2553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1262</v>
      </c>
      <c r="G322" t="s">
        <v>2554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1263</v>
      </c>
      <c r="G323" t="s">
        <v>2555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2557</v>
      </c>
      <c r="G324" t="s">
        <v>2556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1264</v>
      </c>
      <c r="G325" t="s">
        <v>2558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1265</v>
      </c>
      <c r="G326" t="s">
        <v>2559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1266</v>
      </c>
      <c r="G327" t="s">
        <v>2560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1267</v>
      </c>
      <c r="G328" t="s">
        <v>2561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1268</v>
      </c>
      <c r="G329" t="s">
        <v>2562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1269</v>
      </c>
      <c r="G330" t="s">
        <v>2563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1270</v>
      </c>
      <c r="G331" t="s">
        <v>2564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1271</v>
      </c>
      <c r="G332" t="s">
        <v>2565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1272</v>
      </c>
      <c r="G333" t="s">
        <v>2566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1273</v>
      </c>
      <c r="G334" t="s">
        <v>2567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1274</v>
      </c>
      <c r="G335" t="s">
        <v>2568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1275</v>
      </c>
      <c r="G336" t="s">
        <v>2569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1276</v>
      </c>
      <c r="G337" t="s">
        <v>2570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1277</v>
      </c>
      <c r="G338" t="s">
        <v>2571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1278</v>
      </c>
      <c r="G339" t="s">
        <v>2572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1279</v>
      </c>
      <c r="G340" t="s">
        <v>2573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1280</v>
      </c>
      <c r="G341" t="s">
        <v>2574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1281</v>
      </c>
      <c r="G342" t="s">
        <v>2575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1282</v>
      </c>
      <c r="G343" t="s">
        <v>2576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1283</v>
      </c>
      <c r="G344" t="s">
        <v>2577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1284</v>
      </c>
      <c r="G345" t="s">
        <v>2578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1285</v>
      </c>
      <c r="G346" t="s">
        <v>2579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1286</v>
      </c>
      <c r="G347" t="s">
        <v>2580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1287</v>
      </c>
      <c r="G348" t="s">
        <v>2581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1288</v>
      </c>
      <c r="G349" t="s">
        <v>2582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1289</v>
      </c>
      <c r="G350" t="s">
        <v>2583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1290</v>
      </c>
      <c r="G351" t="s">
        <v>2584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1291</v>
      </c>
      <c r="G352" t="s">
        <v>2585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1292</v>
      </c>
      <c r="G353" t="s">
        <v>2586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1293</v>
      </c>
      <c r="G354" t="s">
        <v>2587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1294</v>
      </c>
      <c r="G355" t="s">
        <v>2588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1295</v>
      </c>
      <c r="G356" t="s">
        <v>2589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1296</v>
      </c>
      <c r="G357" t="s">
        <v>2590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1297</v>
      </c>
      <c r="G358" t="s">
        <v>2591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1298</v>
      </c>
      <c r="G359" t="s">
        <v>2592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2594</v>
      </c>
      <c r="G360" t="s">
        <v>2593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1299</v>
      </c>
      <c r="G361" t="s">
        <v>2595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1300</v>
      </c>
      <c r="G362" t="s">
        <v>2596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1301</v>
      </c>
      <c r="G363" t="s">
        <v>2597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1302</v>
      </c>
      <c r="G364" t="s">
        <v>2598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1303</v>
      </c>
      <c r="G365" t="s">
        <v>2599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1304</v>
      </c>
      <c r="G366" t="s">
        <v>2600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1305</v>
      </c>
      <c r="G367" t="s">
        <v>2601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1306</v>
      </c>
      <c r="G368" t="s">
        <v>2602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1307</v>
      </c>
      <c r="G369" t="s">
        <v>1688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1308</v>
      </c>
      <c r="G370" t="s">
        <v>2603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1309</v>
      </c>
      <c r="G371" t="s">
        <v>2604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1310</v>
      </c>
      <c r="G372" t="s">
        <v>2605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1311</v>
      </c>
      <c r="G373" t="s">
        <v>2606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1312</v>
      </c>
      <c r="G374" t="s">
        <v>2607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1313</v>
      </c>
      <c r="G375" t="s">
        <v>2608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1314</v>
      </c>
      <c r="G376" t="s">
        <v>2609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1315</v>
      </c>
      <c r="G377" t="s">
        <v>2610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1316</v>
      </c>
      <c r="G378" t="s">
        <v>2611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1317</v>
      </c>
      <c r="G379" t="s">
        <v>2612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1318</v>
      </c>
      <c r="G380" t="s">
        <v>2613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1319</v>
      </c>
      <c r="G381" t="s">
        <v>2614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1320</v>
      </c>
      <c r="G382" t="s">
        <v>1688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1321</v>
      </c>
      <c r="G383" t="s">
        <v>1688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1322</v>
      </c>
      <c r="G384" t="s">
        <v>2615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1323</v>
      </c>
      <c r="G385" t="s">
        <v>2616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2206</v>
      </c>
      <c r="G386" t="s">
        <v>2617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1324</v>
      </c>
      <c r="G387" t="s">
        <v>2618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2981</v>
      </c>
      <c r="G388" t="s">
        <v>2619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1325</v>
      </c>
      <c r="G389" t="s">
        <v>2620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1326</v>
      </c>
      <c r="G390" t="s">
        <v>2621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2958</v>
      </c>
      <c r="G391" t="s">
        <v>2622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1327</v>
      </c>
      <c r="G392" t="s">
        <v>2623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1328</v>
      </c>
      <c r="G393" t="s">
        <v>2624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1329</v>
      </c>
      <c r="G394" t="s">
        <v>2625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1330</v>
      </c>
      <c r="G395" t="s">
        <v>2626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3516</v>
      </c>
      <c r="G396" t="s">
        <v>2627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1331</v>
      </c>
      <c r="G397" t="s">
        <v>2628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1332</v>
      </c>
      <c r="G398" t="s">
        <v>2629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1333</v>
      </c>
      <c r="G399" t="s">
        <v>2630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1334</v>
      </c>
      <c r="G400" t="s">
        <v>2631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1335</v>
      </c>
      <c r="G401" t="s">
        <v>2632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1336</v>
      </c>
      <c r="G402" t="s">
        <v>2633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2959</v>
      </c>
      <c r="G403" t="s">
        <v>2634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2960</v>
      </c>
      <c r="G404" t="s">
        <v>2635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1337</v>
      </c>
      <c r="G405" t="s">
        <v>2636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1338</v>
      </c>
      <c r="G406" t="s">
        <v>2637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1339</v>
      </c>
      <c r="G407" t="s">
        <v>2638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1340</v>
      </c>
      <c r="G408" t="s">
        <v>2639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1341</v>
      </c>
      <c r="G409" t="s">
        <v>2640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1342</v>
      </c>
      <c r="G410" t="s">
        <v>2641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1343</v>
      </c>
      <c r="G411" t="s">
        <v>2642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1344</v>
      </c>
      <c r="G412" t="s">
        <v>2643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1345</v>
      </c>
      <c r="G413" t="s">
        <v>2644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1346</v>
      </c>
      <c r="G414" t="s">
        <v>2645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1347</v>
      </c>
      <c r="G415" t="s">
        <v>2646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1348</v>
      </c>
      <c r="G416" t="s">
        <v>2647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1349</v>
      </c>
      <c r="G417" t="s">
        <v>2648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1350</v>
      </c>
      <c r="G418" t="s">
        <v>2649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1351</v>
      </c>
      <c r="G419" t="s">
        <v>2650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1352</v>
      </c>
      <c r="G420" t="s">
        <v>2651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1353</v>
      </c>
      <c r="G421" t="s">
        <v>2652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2970</v>
      </c>
      <c r="G422" t="s">
        <v>2653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1354</v>
      </c>
      <c r="G423" t="s">
        <v>2654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1355</v>
      </c>
      <c r="G424" t="s">
        <v>2655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2204</v>
      </c>
      <c r="G425" t="s">
        <v>2656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1356</v>
      </c>
      <c r="G426" t="s">
        <v>2657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1357</v>
      </c>
      <c r="G427" t="s">
        <v>2658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2982</v>
      </c>
      <c r="G428" t="s">
        <v>2659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1358</v>
      </c>
      <c r="G429" t="s">
        <v>2660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1359</v>
      </c>
      <c r="G430" t="s">
        <v>2661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1360</v>
      </c>
      <c r="G431" t="s">
        <v>2662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1361</v>
      </c>
      <c r="G432" t="s">
        <v>2663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1362</v>
      </c>
      <c r="G433" t="s">
        <v>2664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1363</v>
      </c>
      <c r="G434" t="s">
        <v>2665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1364</v>
      </c>
      <c r="G435" t="s">
        <v>2666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1365</v>
      </c>
      <c r="G436" t="s">
        <v>2667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1366</v>
      </c>
      <c r="G437" t="s">
        <v>2669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1367</v>
      </c>
      <c r="G438" t="s">
        <v>2668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1368</v>
      </c>
      <c r="G439" t="s">
        <v>2670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1369</v>
      </c>
      <c r="G440" t="s">
        <v>2671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1370</v>
      </c>
      <c r="G441" t="s">
        <v>2672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1371</v>
      </c>
      <c r="G442" t="s">
        <v>2673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1372</v>
      </c>
      <c r="G443" t="s">
        <v>2674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2983</v>
      </c>
      <c r="G444" t="s">
        <v>2675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1373</v>
      </c>
      <c r="G445" t="s">
        <v>2676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1374</v>
      </c>
      <c r="G446" t="s">
        <v>2677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1375</v>
      </c>
      <c r="G447" t="s">
        <v>2678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1376</v>
      </c>
      <c r="G448" t="s">
        <v>2679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1377</v>
      </c>
      <c r="G449" t="s">
        <v>2680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1378</v>
      </c>
      <c r="G450" t="s">
        <v>2681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2682</v>
      </c>
      <c r="G451" t="s">
        <v>2683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1379</v>
      </c>
      <c r="G452" t="s">
        <v>2684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1380</v>
      </c>
      <c r="G453" t="s">
        <v>2692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1381</v>
      </c>
      <c r="G454" t="s">
        <v>2685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2984</v>
      </c>
      <c r="G455" t="s">
        <v>2686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1382</v>
      </c>
      <c r="G456" t="s">
        <v>2687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1695</v>
      </c>
      <c r="G457" t="s">
        <v>2688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1383</v>
      </c>
      <c r="G458" t="s">
        <v>2689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1384</v>
      </c>
      <c r="G459" t="s">
        <v>2690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1385</v>
      </c>
      <c r="G460" t="s">
        <v>2691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1386</v>
      </c>
      <c r="G461" t="s">
        <v>1688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1387</v>
      </c>
      <c r="G462" t="s">
        <v>2693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1388</v>
      </c>
      <c r="G463" t="s">
        <v>2694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1389</v>
      </c>
      <c r="G464" t="s">
        <v>2695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1390</v>
      </c>
      <c r="G465" t="s">
        <v>2696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1391</v>
      </c>
      <c r="G466" t="s">
        <v>2697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1392</v>
      </c>
      <c r="G467" t="s">
        <v>2698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1393</v>
      </c>
      <c r="G468" t="s">
        <v>2699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1394</v>
      </c>
      <c r="G469" t="s">
        <v>2700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1395</v>
      </c>
      <c r="G470" t="s">
        <v>2701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1396</v>
      </c>
      <c r="G471" t="s">
        <v>2702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1397</v>
      </c>
      <c r="G472" t="s">
        <v>2703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1398</v>
      </c>
      <c r="G473" t="s">
        <v>2704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1399</v>
      </c>
      <c r="G474" t="s">
        <v>2705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1400</v>
      </c>
      <c r="G475" t="s">
        <v>2706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2985</v>
      </c>
      <c r="G476" t="s">
        <v>2707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1401</v>
      </c>
      <c r="G477" t="s">
        <v>2708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2986</v>
      </c>
      <c r="G478" t="s">
        <v>2709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1402</v>
      </c>
      <c r="G479" t="s">
        <v>2710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1403</v>
      </c>
      <c r="G480" t="s">
        <v>2711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1404</v>
      </c>
      <c r="G481" t="s">
        <v>2712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1405</v>
      </c>
      <c r="G482" t="s">
        <v>2713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1406</v>
      </c>
      <c r="G483" t="s">
        <v>2714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1407</v>
      </c>
      <c r="G484" t="s">
        <v>2715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1408</v>
      </c>
      <c r="G485" t="s">
        <v>2716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1409</v>
      </c>
      <c r="G486" t="s">
        <v>2717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1410</v>
      </c>
      <c r="G487" t="s">
        <v>2718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1411</v>
      </c>
      <c r="G488" t="s">
        <v>2719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1412</v>
      </c>
      <c r="G489" t="s">
        <v>2720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2722</v>
      </c>
      <c r="G490" t="s">
        <v>2721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1413</v>
      </c>
      <c r="G491" t="s">
        <v>2723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1414</v>
      </c>
      <c r="G492" t="s">
        <v>2724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1415</v>
      </c>
      <c r="G493" t="s">
        <v>2725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1416</v>
      </c>
      <c r="G494" t="s">
        <v>2726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1417</v>
      </c>
      <c r="G495" t="s">
        <v>2505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1418</v>
      </c>
      <c r="G496" t="s">
        <v>2727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1419</v>
      </c>
      <c r="G497" t="s">
        <v>2728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3201</v>
      </c>
      <c r="G498" t="s">
        <v>2729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3520</v>
      </c>
      <c r="G499" t="s">
        <v>2730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1420</v>
      </c>
      <c r="G500" t="s">
        <v>2731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1421</v>
      </c>
      <c r="G501" t="s">
        <v>2732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1422</v>
      </c>
      <c r="G502" t="s">
        <v>2733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1423</v>
      </c>
      <c r="G503" t="s">
        <v>2734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1424</v>
      </c>
      <c r="G504" t="s">
        <v>2737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1425</v>
      </c>
      <c r="G505" t="s">
        <v>2740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1426</v>
      </c>
      <c r="G506" t="s">
        <v>2741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1427</v>
      </c>
      <c r="G507" t="s">
        <v>2742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1428</v>
      </c>
      <c r="G508" t="s">
        <v>2743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2744</v>
      </c>
      <c r="G509" t="s">
        <v>2745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1429</v>
      </c>
      <c r="G510" t="s">
        <v>2746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1430</v>
      </c>
      <c r="G511" t="s">
        <v>2747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1431</v>
      </c>
      <c r="G512" t="s">
        <v>2748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1432</v>
      </c>
      <c r="G513" t="s">
        <v>2749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1433</v>
      </c>
      <c r="G514" t="s">
        <v>2750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3519</v>
      </c>
      <c r="G515" t="s">
        <v>2751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1434</v>
      </c>
      <c r="G516" t="s">
        <v>2754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1435</v>
      </c>
      <c r="G517" t="s">
        <v>2752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1436</v>
      </c>
      <c r="G518" t="s">
        <v>2753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1437</v>
      </c>
      <c r="G519" t="s">
        <v>2755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1438</v>
      </c>
      <c r="G520" t="s">
        <v>2756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1439</v>
      </c>
      <c r="G521" t="s">
        <v>2757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1440</v>
      </c>
      <c r="G522" t="s">
        <v>2758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1441</v>
      </c>
      <c r="G523" t="s">
        <v>2759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1442</v>
      </c>
      <c r="G524" t="s">
        <v>2760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2961</v>
      </c>
      <c r="G525" t="s">
        <v>2761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2962</v>
      </c>
      <c r="G526" t="s">
        <v>2762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1443</v>
      </c>
      <c r="G527" t="s">
        <v>2763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1444</v>
      </c>
      <c r="G528" t="s">
        <v>2764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1445</v>
      </c>
      <c r="G529" t="s">
        <v>2765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1446</v>
      </c>
      <c r="G530" t="s">
        <v>2766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1447</v>
      </c>
      <c r="G531" t="s">
        <v>2767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1448</v>
      </c>
      <c r="G532" t="s">
        <v>2768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1449</v>
      </c>
      <c r="G533" t="s">
        <v>2769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1450</v>
      </c>
      <c r="G534" t="s">
        <v>2770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3518</v>
      </c>
      <c r="G535" t="s">
        <v>2771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1451</v>
      </c>
      <c r="G536" t="s">
        <v>2772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1452</v>
      </c>
      <c r="G537" t="s">
        <v>2773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1453</v>
      </c>
      <c r="G538" t="s">
        <v>2774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1454</v>
      </c>
      <c r="G539" t="s">
        <v>2775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2971</v>
      </c>
      <c r="G540" t="s">
        <v>2776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1455</v>
      </c>
      <c r="G541" t="s">
        <v>1688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1456</v>
      </c>
      <c r="G542" t="s">
        <v>2777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1457</v>
      </c>
      <c r="G543" t="s">
        <v>2778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1458</v>
      </c>
      <c r="G544" t="s">
        <v>2779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1459</v>
      </c>
      <c r="G545" t="s">
        <v>2780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1460</v>
      </c>
      <c r="G546" t="s">
        <v>2781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1461</v>
      </c>
      <c r="G547" t="s">
        <v>2782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1462</v>
      </c>
      <c r="G548" t="s">
        <v>2783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2784</v>
      </c>
      <c r="G549" t="s">
        <v>2785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1658</v>
      </c>
      <c r="G550" t="s">
        <v>2786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1463</v>
      </c>
      <c r="G551" t="s">
        <v>2787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1464</v>
      </c>
      <c r="G552" t="s">
        <v>2788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1465</v>
      </c>
      <c r="G553" t="s">
        <v>2789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1466</v>
      </c>
      <c r="G554" t="s">
        <v>2790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2793</v>
      </c>
      <c r="G555" t="s">
        <v>1688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1467</v>
      </c>
      <c r="G556" t="s">
        <v>2791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1468</v>
      </c>
      <c r="G557" t="s">
        <v>2792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1469</v>
      </c>
      <c r="G558" t="s">
        <v>2794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1470</v>
      </c>
      <c r="G559" t="s">
        <v>2795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1471</v>
      </c>
      <c r="G560" t="s">
        <v>2796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2987</v>
      </c>
      <c r="G561" t="s">
        <v>2797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1472</v>
      </c>
      <c r="G562" t="s">
        <v>2798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1473</v>
      </c>
      <c r="G563" t="s">
        <v>2799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2908</v>
      </c>
      <c r="G564" t="s">
        <v>2861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1474</v>
      </c>
      <c r="G565" t="s">
        <v>2862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1475</v>
      </c>
      <c r="G566" t="s">
        <v>2863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1476</v>
      </c>
      <c r="G567" t="s">
        <v>2864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1477</v>
      </c>
      <c r="G568" t="s">
        <v>1688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1478</v>
      </c>
      <c r="G569" t="s">
        <v>1688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3310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1479</v>
      </c>
      <c r="G570" t="s">
        <v>2800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3311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1480</v>
      </c>
      <c r="G571" t="s">
        <v>2801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2917</v>
      </c>
      <c r="G572" t="s">
        <v>1688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2932</v>
      </c>
      <c r="G573" t="s">
        <v>1688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1481</v>
      </c>
      <c r="G574" t="s">
        <v>1688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1482</v>
      </c>
      <c r="G575" t="s">
        <v>1688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1483</v>
      </c>
      <c r="G576" t="s">
        <v>1688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1484</v>
      </c>
      <c r="G577" t="s">
        <v>1688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1485</v>
      </c>
      <c r="G578" t="s">
        <v>1688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1486</v>
      </c>
      <c r="G579" t="s">
        <v>1688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1487</v>
      </c>
      <c r="G580" t="s">
        <v>1688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2918</v>
      </c>
      <c r="G581" t="s">
        <v>1688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2933</v>
      </c>
      <c r="G582" t="s">
        <v>1688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2919</v>
      </c>
      <c r="G583" t="s">
        <v>1688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2934</v>
      </c>
      <c r="G584" t="s">
        <v>1688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1488</v>
      </c>
      <c r="G585" t="s">
        <v>1688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1489</v>
      </c>
      <c r="G586" t="s">
        <v>1688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1490</v>
      </c>
      <c r="G587" t="s">
        <v>2833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1491</v>
      </c>
      <c r="G588" t="s">
        <v>2834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2208</v>
      </c>
      <c r="G589" t="s">
        <v>1688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1492</v>
      </c>
      <c r="G590" t="s">
        <v>2836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1493</v>
      </c>
      <c r="G591" t="s">
        <v>2835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1494</v>
      </c>
      <c r="G592" t="s">
        <v>2837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1495</v>
      </c>
      <c r="G593" t="s">
        <v>1688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1496</v>
      </c>
      <c r="G594" t="s">
        <v>2838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1497</v>
      </c>
      <c r="G595" t="s">
        <v>2839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1498</v>
      </c>
      <c r="G596" t="s">
        <v>2840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1499</v>
      </c>
      <c r="G597" t="s">
        <v>2841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1500</v>
      </c>
      <c r="G598" t="s">
        <v>2842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1501</v>
      </c>
      <c r="G599" t="s">
        <v>2843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1502</v>
      </c>
      <c r="G600" t="s">
        <v>2844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1503</v>
      </c>
      <c r="G601" t="s">
        <v>2845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1504</v>
      </c>
      <c r="G602" t="s">
        <v>2846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1505</v>
      </c>
      <c r="G603" t="s">
        <v>2847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1506</v>
      </c>
      <c r="G604" t="s">
        <v>2848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1507</v>
      </c>
      <c r="G605" t="s">
        <v>2849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1508</v>
      </c>
      <c r="G606" t="s">
        <v>2850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1509</v>
      </c>
      <c r="G607" t="s">
        <v>2851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1510</v>
      </c>
      <c r="G608" t="s">
        <v>2852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1511</v>
      </c>
      <c r="G609" t="s">
        <v>2853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1512</v>
      </c>
      <c r="G610" t="s">
        <v>2854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1513</v>
      </c>
      <c r="G611" t="s">
        <v>2855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1514</v>
      </c>
      <c r="G612" t="s">
        <v>2858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1515</v>
      </c>
      <c r="G613" t="s">
        <v>2859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3017</v>
      </c>
      <c r="G614" t="s">
        <v>1688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1516</v>
      </c>
      <c r="G615" t="s">
        <v>2856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1517</v>
      </c>
      <c r="G616" t="s">
        <v>2857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1518</v>
      </c>
      <c r="G617" t="s">
        <v>2860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3521</v>
      </c>
      <c r="G618" t="s">
        <v>2802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3522</v>
      </c>
      <c r="G619" t="s">
        <v>2803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1519</v>
      </c>
      <c r="G620" t="s">
        <v>2804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3523</v>
      </c>
      <c r="G621" t="s">
        <v>2805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1520</v>
      </c>
      <c r="G622" t="s">
        <v>2806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1521</v>
      </c>
      <c r="G623" t="s">
        <v>2807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1522</v>
      </c>
      <c r="G624" t="s">
        <v>2808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1523</v>
      </c>
      <c r="G625" t="s">
        <v>2809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1524</v>
      </c>
      <c r="G626" t="s">
        <v>2810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Row],[VEHIDCODE]],PROPERTIES[VEHIDCODE],PROPERTIES[EXCLUDE])</f>
        <v>1</v>
      </c>
    </row>
    <row r="627" spans="1:17">
      <c r="A627" s="2" t="s">
        <v>642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1525</v>
      </c>
      <c r="G627" t="s">
        <v>1688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3202</v>
      </c>
      <c r="G628" t="s">
        <v>2811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1526</v>
      </c>
      <c r="G629" t="s">
        <v>2817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1527</v>
      </c>
      <c r="G630" t="s">
        <v>2818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1528</v>
      </c>
      <c r="G631" t="s">
        <v>2819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1529</v>
      </c>
      <c r="G632" t="s">
        <v>2820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1530</v>
      </c>
      <c r="G633" t="s">
        <v>2821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1531</v>
      </c>
      <c r="G634" t="s">
        <v>2822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1532</v>
      </c>
      <c r="G635" t="s">
        <v>2823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1533</v>
      </c>
      <c r="G636" t="s">
        <v>2824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1534</v>
      </c>
      <c r="G637" t="s">
        <v>2825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1535</v>
      </c>
      <c r="G638" t="s">
        <v>2826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1536</v>
      </c>
      <c r="G639" t="s">
        <v>2827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1537</v>
      </c>
      <c r="G640" t="s">
        <v>2828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1538</v>
      </c>
      <c r="G641" t="s">
        <v>2829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1539</v>
      </c>
      <c r="G642" t="s">
        <v>2830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1540</v>
      </c>
      <c r="G643" t="s">
        <v>2831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1541</v>
      </c>
      <c r="G644" t="s">
        <v>2832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1542</v>
      </c>
      <c r="G645" t="s">
        <v>2812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1543</v>
      </c>
      <c r="G646" t="s">
        <v>2813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1544</v>
      </c>
      <c r="G647" t="s">
        <v>2814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1545</v>
      </c>
      <c r="G648" t="s">
        <v>2815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1546</v>
      </c>
      <c r="G649" t="s">
        <v>1688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1546</v>
      </c>
      <c r="G650" t="s">
        <v>1688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1547</v>
      </c>
      <c r="G651" t="s">
        <v>1688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1547</v>
      </c>
      <c r="G652" t="s">
        <v>1688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1548</v>
      </c>
      <c r="G653" t="s">
        <v>1688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1548</v>
      </c>
      <c r="G654" t="s">
        <v>1688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1549</v>
      </c>
      <c r="G655" t="s">
        <v>1688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1550</v>
      </c>
      <c r="G656" t="s">
        <v>1688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1551</v>
      </c>
      <c r="G657" t="s">
        <v>1688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1552</v>
      </c>
      <c r="G658" t="s">
        <v>1688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1553</v>
      </c>
      <c r="G659" t="s">
        <v>1688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2920</v>
      </c>
      <c r="G660" t="s">
        <v>1688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2935</v>
      </c>
      <c r="G661" t="s">
        <v>1688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1554</v>
      </c>
      <c r="G662" t="s">
        <v>1688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1555</v>
      </c>
      <c r="G663" t="s">
        <v>1688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1556</v>
      </c>
      <c r="G664" t="s">
        <v>1688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1557</v>
      </c>
      <c r="G665" t="s">
        <v>1688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1558</v>
      </c>
      <c r="G666" t="s">
        <v>1688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2921</v>
      </c>
      <c r="G667" t="s">
        <v>1688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2936</v>
      </c>
      <c r="G668" t="s">
        <v>1688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1559</v>
      </c>
      <c r="G669" t="s">
        <v>1688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1560</v>
      </c>
      <c r="G670" t="s">
        <v>1688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2922</v>
      </c>
      <c r="G671" t="s">
        <v>1688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2937</v>
      </c>
      <c r="G672" t="s">
        <v>1688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1561</v>
      </c>
      <c r="G673" t="s">
        <v>1688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1562</v>
      </c>
      <c r="G674" t="s">
        <v>1688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1563</v>
      </c>
      <c r="G675" t="s">
        <v>1688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2923</v>
      </c>
      <c r="G676" t="s">
        <v>1688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2938</v>
      </c>
      <c r="G677" t="s">
        <v>1688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1564</v>
      </c>
      <c r="G678" t="s">
        <v>1688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1565</v>
      </c>
      <c r="G679" t="s">
        <v>1688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2924</v>
      </c>
      <c r="G680" t="s">
        <v>1688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2939</v>
      </c>
      <c r="G681" t="s">
        <v>1688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2925</v>
      </c>
      <c r="G682" t="s">
        <v>1688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2940</v>
      </c>
      <c r="G683" t="s">
        <v>1688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1566</v>
      </c>
      <c r="G684" t="s">
        <v>1688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1567</v>
      </c>
      <c r="G685" t="s">
        <v>1688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1568</v>
      </c>
      <c r="G686" t="s">
        <v>1688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1569</v>
      </c>
      <c r="G687" t="s">
        <v>1688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1570</v>
      </c>
      <c r="G688" t="s">
        <v>1688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2926</v>
      </c>
      <c r="G689" t="s">
        <v>1688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2941</v>
      </c>
      <c r="G690" t="s">
        <v>1688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1571</v>
      </c>
      <c r="G691" t="s">
        <v>1688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1572</v>
      </c>
      <c r="G692" t="s">
        <v>1688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2927</v>
      </c>
      <c r="G693" t="s">
        <v>1688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2942</v>
      </c>
      <c r="G694" t="s">
        <v>1688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2928</v>
      </c>
      <c r="G695" t="s">
        <v>1688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2943</v>
      </c>
      <c r="G696" t="s">
        <v>1688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1573</v>
      </c>
      <c r="G697" t="s">
        <v>1688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1574</v>
      </c>
      <c r="G698" t="s">
        <v>1688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1575</v>
      </c>
      <c r="G699" t="s">
        <v>1688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1576</v>
      </c>
      <c r="G700" t="s">
        <v>1688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1577</v>
      </c>
      <c r="G701" t="s">
        <v>1688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1578</v>
      </c>
      <c r="G702" t="s">
        <v>1688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1579</v>
      </c>
      <c r="G703" t="s">
        <v>1688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2929</v>
      </c>
      <c r="G704" t="s">
        <v>1688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2944</v>
      </c>
      <c r="G705" t="s">
        <v>1688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1580</v>
      </c>
      <c r="G706" t="s">
        <v>1688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1581</v>
      </c>
      <c r="G707" t="s">
        <v>1688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2930</v>
      </c>
      <c r="G708" t="s">
        <v>1688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2945</v>
      </c>
      <c r="G709" t="s">
        <v>1688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2931</v>
      </c>
      <c r="G710" t="s">
        <v>1688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2946</v>
      </c>
      <c r="G711" t="s">
        <v>1688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1582</v>
      </c>
      <c r="G712" t="s">
        <v>1688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1583</v>
      </c>
      <c r="G713" t="s">
        <v>1688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1584</v>
      </c>
      <c r="G714" t="s">
        <v>1688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1585</v>
      </c>
      <c r="G715" t="s">
        <v>1688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1586</v>
      </c>
      <c r="G716" t="s">
        <v>1688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2905</v>
      </c>
      <c r="G717" t="s">
        <v>1688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2906</v>
      </c>
      <c r="G718" t="s">
        <v>1688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1587</v>
      </c>
      <c r="G719" t="s">
        <v>1688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1588</v>
      </c>
      <c r="G720" t="s">
        <v>1688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1589</v>
      </c>
      <c r="G721" t="s">
        <v>1688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1590</v>
      </c>
      <c r="G722" t="s">
        <v>1688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1591</v>
      </c>
      <c r="G723" t="s">
        <v>1688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1592</v>
      </c>
      <c r="G724" t="s">
        <v>1688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1593</v>
      </c>
      <c r="G725" t="s">
        <v>1688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1594</v>
      </c>
      <c r="G726" t="s">
        <v>1688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1595</v>
      </c>
      <c r="G727" t="s">
        <v>1688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1596</v>
      </c>
      <c r="G728" t="s">
        <v>1688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1597</v>
      </c>
      <c r="G729" t="s">
        <v>1688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1598</v>
      </c>
      <c r="G730" t="s">
        <v>1688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1599</v>
      </c>
      <c r="G731" t="s">
        <v>1688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1600</v>
      </c>
      <c r="G732" t="s">
        <v>1688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1601</v>
      </c>
      <c r="G733" t="s">
        <v>1688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1602</v>
      </c>
      <c r="G734" t="s">
        <v>1688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1603</v>
      </c>
      <c r="G735" t="s">
        <v>1688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1604</v>
      </c>
      <c r="G736" t="s">
        <v>1688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1605</v>
      </c>
      <c r="G737" t="s">
        <v>1688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1606</v>
      </c>
      <c r="G738" t="s">
        <v>1688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1607</v>
      </c>
      <c r="G739" t="s">
        <v>1688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1608</v>
      </c>
      <c r="G740" t="s">
        <v>1688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1609</v>
      </c>
      <c r="G741" t="s">
        <v>1688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1610</v>
      </c>
      <c r="G742" t="s">
        <v>1688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1611</v>
      </c>
      <c r="G743" t="s">
        <v>1688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1612</v>
      </c>
      <c r="G744" t="s">
        <v>1688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1613</v>
      </c>
      <c r="G745" t="s">
        <v>1688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1614</v>
      </c>
      <c r="G746" t="s">
        <v>1688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1615</v>
      </c>
      <c r="G747" t="s">
        <v>1688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1616</v>
      </c>
      <c r="G748" t="s">
        <v>1688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1617</v>
      </c>
      <c r="G749" t="s">
        <v>1688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1618</v>
      </c>
      <c r="G750" t="s">
        <v>1688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1619</v>
      </c>
      <c r="G751" t="s">
        <v>1688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1620</v>
      </c>
      <c r="G752" t="s">
        <v>1688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1621</v>
      </c>
      <c r="G753" t="s">
        <v>1688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1622</v>
      </c>
      <c r="G754" t="s">
        <v>1688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1623</v>
      </c>
      <c r="G755" t="s">
        <v>1688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1624</v>
      </c>
      <c r="G756" t="s">
        <v>1688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1625</v>
      </c>
      <c r="G757" t="s">
        <v>1688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1626</v>
      </c>
      <c r="G758" t="s">
        <v>1688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1627</v>
      </c>
      <c r="G759" t="s">
        <v>1688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1628</v>
      </c>
      <c r="G760" t="s">
        <v>1688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1629</v>
      </c>
      <c r="G761" t="s">
        <v>1688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1630</v>
      </c>
      <c r="G762" t="s">
        <v>1688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1631</v>
      </c>
      <c r="G763" t="s">
        <v>1688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1632</v>
      </c>
      <c r="G764" t="s">
        <v>1688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3512</v>
      </c>
      <c r="G765" t="s">
        <v>1688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1633</v>
      </c>
      <c r="G766" t="s">
        <v>1688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1634</v>
      </c>
      <c r="G767" t="s">
        <v>1688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1635</v>
      </c>
      <c r="G768" t="s">
        <v>1688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1636</v>
      </c>
      <c r="G769" t="s">
        <v>1688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1637</v>
      </c>
      <c r="G770" t="s">
        <v>1688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1638</v>
      </c>
      <c r="G771" t="s">
        <v>1688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1639</v>
      </c>
      <c r="G772" t="s">
        <v>1688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1640</v>
      </c>
      <c r="G773" t="s">
        <v>1688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1641</v>
      </c>
      <c r="G774" t="s">
        <v>1688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1642</v>
      </c>
      <c r="G775" t="s">
        <v>1688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1643</v>
      </c>
      <c r="G776" t="s">
        <v>1688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1644</v>
      </c>
      <c r="G777" t="s">
        <v>1688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1645</v>
      </c>
      <c r="G778" t="s">
        <v>1688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1646</v>
      </c>
      <c r="G779" t="s">
        <v>1688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1647</v>
      </c>
      <c r="G780" t="s">
        <v>1688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1648</v>
      </c>
      <c r="G781" t="s">
        <v>1688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1649</v>
      </c>
      <c r="G782" t="s">
        <v>1688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1650</v>
      </c>
      <c r="G783" t="s">
        <v>1688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1651</v>
      </c>
      <c r="G784" t="s">
        <v>1688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1652</v>
      </c>
      <c r="G785" t="s">
        <v>1688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1653</v>
      </c>
      <c r="G786" t="s">
        <v>1688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1654</v>
      </c>
      <c r="G787" t="s">
        <v>1688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1655</v>
      </c>
      <c r="G788" t="s">
        <v>1688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1656</v>
      </c>
      <c r="G789" t="s">
        <v>1688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1692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3024</v>
      </c>
      <c r="G790" t="s">
        <v>1688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1693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3476</v>
      </c>
      <c r="G791" t="s">
        <v>2363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2739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2738</v>
      </c>
      <c r="G792" t="s">
        <v>2816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2873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3016</v>
      </c>
      <c r="G793" t="s">
        <v>2874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2875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2963</v>
      </c>
      <c r="G794" t="s">
        <v>2219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2877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3019</v>
      </c>
      <c r="G795" t="s">
        <v>2876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2879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3022</v>
      </c>
      <c r="G796" t="s">
        <v>2878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2892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3051</v>
      </c>
      <c r="G797" t="s">
        <v>2891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2894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3268</v>
      </c>
      <c r="G798" t="s">
        <v>2895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2896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3475</v>
      </c>
      <c r="G799" t="s">
        <v>2897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2898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3023</v>
      </c>
      <c r="G800" t="s">
        <v>2899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2900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3474</v>
      </c>
      <c r="G801" t="s">
        <v>1688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2901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3020</v>
      </c>
      <c r="G802" t="s">
        <v>2902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2903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3021</v>
      </c>
      <c r="G803" t="s">
        <v>2904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2907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2909</v>
      </c>
      <c r="G804" t="s">
        <v>2861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3029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3027</v>
      </c>
      <c r="G805" t="s">
        <v>1688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3030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3028</v>
      </c>
      <c r="G806" t="s">
        <v>1688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3003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3004</v>
      </c>
      <c r="G807" t="s">
        <v>1688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2998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3005</v>
      </c>
      <c r="G808" t="s">
        <v>1688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2999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3006</v>
      </c>
      <c r="G809" t="s">
        <v>1688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3000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3007</v>
      </c>
      <c r="G810" t="s">
        <v>1688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3001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3008</v>
      </c>
      <c r="G811" t="s">
        <v>1688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3002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3009</v>
      </c>
      <c r="G812" t="s">
        <v>1688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3037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3010</v>
      </c>
      <c r="G813" t="s">
        <v>1688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3014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3018</v>
      </c>
      <c r="G814" t="s">
        <v>3015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3031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3032</v>
      </c>
      <c r="G815" t="s">
        <v>3033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3034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3035</v>
      </c>
      <c r="G816" t="s">
        <v>3036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3038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3039</v>
      </c>
      <c r="G817" t="s">
        <v>3040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3041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3042</v>
      </c>
      <c r="G818" t="s">
        <v>3043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3054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3052</v>
      </c>
      <c r="G819" t="s">
        <v>3053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3055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3056</v>
      </c>
      <c r="G820" t="s">
        <v>3057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3058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3059</v>
      </c>
      <c r="G821" t="s">
        <v>1688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3062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3061</v>
      </c>
      <c r="G822" t="s">
        <v>3060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3063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3064</v>
      </c>
      <c r="G823" t="s">
        <v>3065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3066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3067</v>
      </c>
      <c r="G824" t="s">
        <v>3068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Row],[VEHIDCODE]],PROPERTIES[VEHIDCODE],PROPERTIES[EXCLUDE])</f>
        <v>1</v>
      </c>
    </row>
    <row r="825" spans="1:17">
      <c r="A825" t="s">
        <v>3070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3071</v>
      </c>
      <c r="G825" t="s">
        <v>3069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3072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3073</v>
      </c>
      <c r="G826" t="s">
        <v>3069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3074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3075</v>
      </c>
      <c r="G827" t="s">
        <v>1688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3076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3077</v>
      </c>
      <c r="G828" t="s">
        <v>3078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3079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3391</v>
      </c>
      <c r="G829" t="s">
        <v>3080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3081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3082</v>
      </c>
      <c r="G830" t="s">
        <v>3083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3084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3085</v>
      </c>
      <c r="G831" t="s">
        <v>3086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3087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3089</v>
      </c>
      <c r="G832" t="s">
        <v>3088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3090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3091</v>
      </c>
      <c r="G833" t="s">
        <v>3092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3093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3402</v>
      </c>
      <c r="G834" t="s">
        <v>3094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3095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3096</v>
      </c>
      <c r="G835" t="s">
        <v>3097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3098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3099</v>
      </c>
      <c r="G836" t="s">
        <v>3100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3101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3102</v>
      </c>
      <c r="G837" t="s">
        <v>3103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3104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3105</v>
      </c>
      <c r="G838" s="40" t="s">
        <v>3106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3107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3108</v>
      </c>
      <c r="G839" s="40" t="s">
        <v>3109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3110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3111</v>
      </c>
      <c r="G840" s="40" t="s">
        <v>3112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3114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3403</v>
      </c>
      <c r="G841" s="40" t="s">
        <v>3113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3115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3120</v>
      </c>
      <c r="G842" s="40" t="s">
        <v>3116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3117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3121</v>
      </c>
      <c r="G843" t="s">
        <v>3118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3119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3122</v>
      </c>
      <c r="G844" t="s">
        <v>3123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3124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3125</v>
      </c>
      <c r="G845" t="s">
        <v>3126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3127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3546</v>
      </c>
      <c r="G846" t="s">
        <v>3128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3130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3544</v>
      </c>
      <c r="G847" t="s">
        <v>3545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3131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3129</v>
      </c>
      <c r="G848" t="s">
        <v>3132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3133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3134</v>
      </c>
      <c r="G849" t="s">
        <v>3135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3137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3136</v>
      </c>
      <c r="G850" t="s">
        <v>3138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3139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3140</v>
      </c>
      <c r="G851" t="s">
        <v>3141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3144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3143</v>
      </c>
      <c r="G852" t="s">
        <v>3142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3145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3146</v>
      </c>
      <c r="G853" t="s">
        <v>3147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3148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3149</v>
      </c>
      <c r="G854" t="s">
        <v>1688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3151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3150</v>
      </c>
      <c r="G855" t="s">
        <v>1688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3153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3152</v>
      </c>
      <c r="G856" t="s">
        <v>3154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3155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3156</v>
      </c>
      <c r="G857" s="40" t="s">
        <v>3157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3158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3159</v>
      </c>
      <c r="G858" t="s">
        <v>2485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3160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3161</v>
      </c>
      <c r="G859" s="40" t="s">
        <v>3162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3163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3164</v>
      </c>
      <c r="G860" t="s">
        <v>3165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3166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3167</v>
      </c>
      <c r="G861" t="s">
        <v>3168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3171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3169</v>
      </c>
      <c r="G862" t="s">
        <v>3170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3172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3175</v>
      </c>
      <c r="G863" t="s">
        <v>3178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3173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3176</v>
      </c>
      <c r="G864" t="s">
        <v>3178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3174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3177</v>
      </c>
      <c r="G865" t="s">
        <v>3178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3179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3180</v>
      </c>
      <c r="G866" s="40" t="s">
        <v>3181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3183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3182</v>
      </c>
      <c r="G867" s="40" t="s">
        <v>3184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3186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3185</v>
      </c>
      <c r="G868" t="s">
        <v>1688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3187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3188</v>
      </c>
      <c r="G869" s="40" t="s">
        <v>3189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3190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3191</v>
      </c>
      <c r="G870" t="s">
        <v>1688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3192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3194</v>
      </c>
      <c r="G871" t="s">
        <v>3193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3196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3197</v>
      </c>
      <c r="G872" t="s">
        <v>3198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3199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3200</v>
      </c>
      <c r="G873" t="s">
        <v>3203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3204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3205</v>
      </c>
      <c r="G874" t="s">
        <v>3206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3207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3208</v>
      </c>
      <c r="G875" s="40" t="s">
        <v>3211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3209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3210</v>
      </c>
      <c r="G876" s="40" t="s">
        <v>3212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3213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3215</v>
      </c>
      <c r="G877" s="40" t="s">
        <v>3214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3216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3217</v>
      </c>
      <c r="G878" t="s">
        <v>3218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3219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3220</v>
      </c>
      <c r="G879" t="s">
        <v>3218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3221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3222</v>
      </c>
      <c r="G880" s="40" t="s">
        <v>3223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3224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3226</v>
      </c>
      <c r="G881" s="40" t="s">
        <v>3225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3227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3228</v>
      </c>
      <c r="G882" s="40" t="s">
        <v>3229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3231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3230</v>
      </c>
      <c r="G883" t="s">
        <v>3232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3233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3234</v>
      </c>
      <c r="G884" t="s">
        <v>3235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3236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3237</v>
      </c>
      <c r="G885" t="s">
        <v>1688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3238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3239</v>
      </c>
      <c r="G886" t="s">
        <v>3240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3241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3242</v>
      </c>
      <c r="G887" t="s">
        <v>3243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3244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3245</v>
      </c>
      <c r="G888" t="s">
        <v>3246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3248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3249</v>
      </c>
      <c r="G889" t="s">
        <v>3250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3261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3253</v>
      </c>
      <c r="G890" t="s">
        <v>3254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3255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3256</v>
      </c>
      <c r="G891" t="s">
        <v>3257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3259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3260</v>
      </c>
      <c r="G892" t="s">
        <v>3258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3262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3263</v>
      </c>
      <c r="G893" t="s">
        <v>3264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3266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3265</v>
      </c>
      <c r="G894" t="s">
        <v>3267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3269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3270</v>
      </c>
      <c r="G895" s="40" t="s">
        <v>3271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3279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3280</v>
      </c>
      <c r="G896" t="s">
        <v>1688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3281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3282</v>
      </c>
      <c r="G897" t="s">
        <v>3283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3285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3286</v>
      </c>
      <c r="G898" t="s">
        <v>1688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3289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3288</v>
      </c>
      <c r="G899" t="s">
        <v>3287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3291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3290</v>
      </c>
      <c r="G900" t="s">
        <v>1688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3292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3293</v>
      </c>
      <c r="G901" t="s">
        <v>3294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3303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3295</v>
      </c>
      <c r="G902" t="s">
        <v>3296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3302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3297</v>
      </c>
      <c r="G903" t="s">
        <v>3300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3298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3299</v>
      </c>
      <c r="G904" t="s">
        <v>3301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3304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3306</v>
      </c>
      <c r="G905" t="s">
        <v>3305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3307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3308</v>
      </c>
      <c r="G906" t="s">
        <v>3309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3316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3317</v>
      </c>
      <c r="G907" t="s">
        <v>3318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3319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3320</v>
      </c>
      <c r="G908" t="s">
        <v>3321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3322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3323</v>
      </c>
      <c r="G909" t="s">
        <v>3324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3325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3327</v>
      </c>
      <c r="G910" t="s">
        <v>1688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3328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3329</v>
      </c>
      <c r="G911" t="s">
        <v>1688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3330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3332</v>
      </c>
      <c r="G912" t="s">
        <v>1688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3331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3333</v>
      </c>
      <c r="G913" t="s">
        <v>1688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3334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3336</v>
      </c>
      <c r="G914" t="s">
        <v>1688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3335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3337</v>
      </c>
      <c r="G915" t="s">
        <v>1688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3338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3357</v>
      </c>
      <c r="G916" t="s">
        <v>3341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3339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3340</v>
      </c>
      <c r="G917" t="s">
        <v>3341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3342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3343</v>
      </c>
      <c r="G918" t="s">
        <v>1688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3344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3345</v>
      </c>
      <c r="G919" t="s">
        <v>1688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3346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3347</v>
      </c>
      <c r="G920" t="s">
        <v>1688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3348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3349</v>
      </c>
      <c r="G921" t="s">
        <v>3371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3350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3351</v>
      </c>
      <c r="G922" t="s">
        <v>3371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3352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3354</v>
      </c>
      <c r="G923" t="s">
        <v>1688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3353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3355</v>
      </c>
      <c r="G924" t="s">
        <v>1688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3358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3356</v>
      </c>
      <c r="G925" t="s">
        <v>1688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3360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3359</v>
      </c>
      <c r="G926" t="s">
        <v>3321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3361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3362</v>
      </c>
      <c r="G927" t="s">
        <v>3321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3363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3364</v>
      </c>
      <c r="G928" t="s">
        <v>3369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3365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3367</v>
      </c>
      <c r="G929" t="s">
        <v>3370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3366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3368</v>
      </c>
      <c r="G930" t="s">
        <v>3370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3374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3372</v>
      </c>
      <c r="G931" t="s">
        <v>3373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3375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3376</v>
      </c>
      <c r="G932" t="s">
        <v>3373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3377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3378</v>
      </c>
      <c r="G933" t="s">
        <v>3379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3380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3381</v>
      </c>
      <c r="G934" s="40" t="s">
        <v>3382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3383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3384</v>
      </c>
      <c r="G935" t="s">
        <v>2807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3385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3386</v>
      </c>
      <c r="G936" t="s">
        <v>3387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3389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3388</v>
      </c>
      <c r="G937" t="s">
        <v>3390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3393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3394</v>
      </c>
      <c r="G938" t="s">
        <v>3395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3396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3397</v>
      </c>
      <c r="G939" t="s">
        <v>3398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3406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3404</v>
      </c>
      <c r="G940" t="s">
        <v>3405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3410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3408</v>
      </c>
      <c r="G941" t="s">
        <v>3409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3413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3411</v>
      </c>
      <c r="G942" t="s">
        <v>3412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3414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3415</v>
      </c>
      <c r="G943" t="s">
        <v>3416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3417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3418</v>
      </c>
      <c r="G944" t="s">
        <v>3419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3420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3423</v>
      </c>
      <c r="G945" t="s">
        <v>3421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3422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3424</v>
      </c>
      <c r="G946" t="s">
        <v>3425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3426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3428</v>
      </c>
      <c r="G947" s="40" t="s">
        <v>3427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3429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3431</v>
      </c>
      <c r="G948" t="s">
        <v>3433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3430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3432</v>
      </c>
      <c r="G949" t="s">
        <v>3434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3435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3436</v>
      </c>
      <c r="G950" t="s">
        <v>3437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3439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3480</v>
      </c>
      <c r="G951" t="s">
        <v>2521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3440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3481</v>
      </c>
      <c r="G952" t="s">
        <v>3441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3442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3443</v>
      </c>
      <c r="G953" t="s">
        <v>2488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3444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3477</v>
      </c>
      <c r="G954" t="s">
        <v>3445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3446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3478</v>
      </c>
      <c r="G955" t="s">
        <v>3447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3448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3479</v>
      </c>
      <c r="G956" t="s">
        <v>3449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3450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3451</v>
      </c>
      <c r="G957" t="s">
        <v>3452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3453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3455</v>
      </c>
      <c r="G958" t="s">
        <v>3458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3454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3456</v>
      </c>
      <c r="G959" t="s">
        <v>3457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3459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3460</v>
      </c>
      <c r="G960" t="s">
        <v>3465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3461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3462</v>
      </c>
      <c r="G961" t="s">
        <v>3466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Row],[VEHIDCODE]],PROPERTIES[VEHIDCODE],PROPERTIES[EXCLUDE])</f>
        <v>0</v>
      </c>
    </row>
    <row r="962" spans="1:17">
      <c r="A962" s="2" t="s">
        <v>3464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3463</v>
      </c>
      <c r="G962" t="s">
        <v>3467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Row],[VEHIDCODE]],PROPERTIES[VEHIDCODE],PROPERTIES[EXCLUDE])</f>
        <v>0</v>
      </c>
    </row>
    <row r="963" spans="1:17">
      <c r="A963" t="s">
        <v>3468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3470</v>
      </c>
      <c r="G963" t="s">
        <v>1688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Row],[VEHIDCODE]],PROPERTIES[VEHIDCODE],PROPERTIES[EXCLUDE])</f>
        <v>0</v>
      </c>
    </row>
    <row r="964" spans="1:17">
      <c r="A964" t="s">
        <v>3469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3471</v>
      </c>
      <c r="G964" t="s">
        <v>1688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Row],[VEHIDCODE]],PROPERTIES[VEHIDCODE],PROPERTIES[EXCLUDE])</f>
        <v>0</v>
      </c>
    </row>
    <row r="965" spans="1:17">
      <c r="A965" t="s">
        <v>3482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3484</v>
      </c>
      <c r="G965" t="s">
        <v>3483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Row],[VEHIDCODE]],PROPERTIES[VEHIDCODE],PROPERTIES[EXCLUDE])</f>
        <v>0</v>
      </c>
    </row>
    <row r="966" spans="1:17">
      <c r="A966" t="s">
        <v>3485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3486</v>
      </c>
      <c r="G966" t="s">
        <v>3487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Row],[VEHIDCODE]],PROPERTIES[VEHIDCODE],PROPERTIES[EXCLUDE])</f>
        <v>0</v>
      </c>
    </row>
    <row r="967" spans="1:17">
      <c r="A967" t="s">
        <v>3488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3489</v>
      </c>
      <c r="G967" t="s">
        <v>3490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Row],[VEHIDCODE]],PROPERTIES[VEHIDCODE],PROPERTIES[EXCLUDE])</f>
        <v>0</v>
      </c>
    </row>
    <row r="968" spans="1:17">
      <c r="A968" t="s">
        <v>3491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3492</v>
      </c>
      <c r="G968" t="s">
        <v>3493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Row],[VEHIDCODE]],PROPERTIES[VEHIDCODE],PROPERTIES[EXCLUDE])</f>
        <v>0</v>
      </c>
    </row>
    <row r="969" spans="1:17">
      <c r="A969" t="s">
        <v>3494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3548</v>
      </c>
      <c r="G969" t="s">
        <v>3495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Row],[VEHIDCODE]],PROPERTIES[VEHIDCODE],PROPERTIES[EXCLUDE])</f>
        <v>0</v>
      </c>
    </row>
    <row r="970" spans="1:17">
      <c r="A970" t="s">
        <v>3496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3497</v>
      </c>
      <c r="G970" t="s">
        <v>3498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Row],[VEHIDCODE]],PROPERTIES[VEHIDCODE],PROPERTIES[EXCLUDE])</f>
        <v>0</v>
      </c>
    </row>
    <row r="971" spans="1:17">
      <c r="A971" t="s">
        <v>3501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3500</v>
      </c>
      <c r="G971" t="s">
        <v>3499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Row],[VEHIDCODE]],PROPERTIES[VEHIDCODE],PROPERTIES[EXCLUDE])</f>
        <v>0</v>
      </c>
    </row>
    <row r="972" spans="1:17">
      <c r="A972" s="2" t="s">
        <v>3503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3504</v>
      </c>
      <c r="G972" s="40" t="s">
        <v>3505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Row],[VEHIDCODE]],PROPERTIES[VEHIDCODE],PROPERTIES[EXCLUDE])</f>
        <v>0</v>
      </c>
    </row>
    <row r="973" spans="1:17">
      <c r="A973" s="2" t="s">
        <v>3506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3507</v>
      </c>
      <c r="G973" t="s">
        <v>3508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Row],[VEHIDCODE]],PROPERTIES[VEHIDCODE],PROPERTIES[EXCLUDE])</f>
        <v>0</v>
      </c>
    </row>
    <row r="974" spans="1:17">
      <c r="A974" t="s">
        <v>3511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3509</v>
      </c>
      <c r="G974" t="s">
        <v>3510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Row],[VEHIDCODE]],PROPERTIES[VEHIDCODE],PROPERTIES[EXCLUDE])</f>
        <v>0</v>
      </c>
    </row>
    <row r="975" spans="1:17">
      <c r="A975" t="s">
        <v>3526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3525</v>
      </c>
      <c r="G975" t="s">
        <v>3524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Row],[VEHIDCODE]],PROPERTIES[VEHIDCODE],PROPERTIES[EXCLUDE])</f>
        <v>0</v>
      </c>
    </row>
    <row r="976" spans="1:17">
      <c r="A976" t="s">
        <v>3527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3528</v>
      </c>
      <c r="G976" t="s">
        <v>3529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Row],[VEHIDCODE]],PROPERTIES[VEHIDCODE],PROPERTIES[EXCLUDE])</f>
        <v>0</v>
      </c>
    </row>
    <row r="977" spans="1:17">
      <c r="A977" t="s">
        <v>3530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3531</v>
      </c>
      <c r="G977" t="s">
        <v>3068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Row],[VEHIDCODE]],PROPERTIES[VEHIDCODE],PROPERTIES[EXCLUDE])</f>
        <v>0</v>
      </c>
    </row>
    <row r="978" spans="1:17">
      <c r="A978" s="2" t="s">
        <v>3532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3533</v>
      </c>
      <c r="G978" t="s">
        <v>3534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Row],[VEHIDCODE]],PROPERTIES[VEHIDCODE],PROPERTIES[EXCLUDE])</f>
        <v>0</v>
      </c>
    </row>
    <row r="979" spans="1:17">
      <c r="A979" t="s">
        <v>3535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3536</v>
      </c>
      <c r="G979" t="s">
        <v>3537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Row],[VEHIDCODE]],PROPERTIES[VEHIDCODE],PROPERTIES[EXCLUDE])</f>
        <v>0</v>
      </c>
    </row>
    <row r="980" spans="1:17">
      <c r="A980" t="s">
        <v>3539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3538</v>
      </c>
      <c r="G980" t="s">
        <v>3540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Row],[VEHIDCODE]],PROPERTIES[VEHIDCODE],PROPERTIES[EXCLUDE])</f>
        <v>0</v>
      </c>
    </row>
    <row r="981" spans="1:17">
      <c r="A981" s="2" t="s">
        <v>3541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3542</v>
      </c>
      <c r="G981" t="s">
        <v>3543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Row],[VEHIDCODE]],PROPERTIES[VEHIDCODE],PROPERTIES[EXCLUDE])</f>
        <v>0</v>
      </c>
    </row>
    <row r="982" spans="1:17">
      <c r="A982" t="s">
        <v>3547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3549</v>
      </c>
      <c r="G982" t="s">
        <v>3495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Row],[VEHIDCODE]],PROPERTIES[VEHIDCODE],PROPERTIES[EXCLUDE])</f>
        <v>0</v>
      </c>
    </row>
    <row r="983" spans="1:17">
      <c r="A983" s="2" t="s">
        <v>3550</v>
      </c>
      <c r="B983" s="27" t="str">
        <f>_xlfn.TEXTAFTER(CONTROL[[#This Row],[VEHIDCODE]],"_")</f>
        <v>Russia_RZD_VL19</v>
      </c>
      <c r="C983" s="46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s="46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3551</v>
      </c>
      <c r="G983" t="s">
        <v>3552</v>
      </c>
      <c r="H983" s="47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s="46" t="b">
        <f>ISNUMBER(_xlfn.XMATCH(CONTROL[[#This Row],[VEHIDCODE]],TRACK_TYPES[VEHIDCODE],0))</f>
        <v>1</v>
      </c>
      <c r="K983" s="46" t="b">
        <f>ISNUMBER(_xlfn.XMATCH(CONTROL[[#This Row],[VEHIDCODE]],PROPERTIES[VEHIDCODE],0))</f>
        <v>1</v>
      </c>
      <c r="L983" s="46" t="b">
        <f>ISNUMBER(_xlfn.XMATCH(CONTROL[[#This Row],[VEHIDCODE]],FLAGS[VEHIDCODE],0))</f>
        <v>1</v>
      </c>
      <c r="M983" s="46" t="b">
        <f>ISNUMBER(_xlfn.XLOOKUP(CONTROL[[#This Row],[VEHIDCODE]],roster!A:A,roster!D:D))</f>
        <v>1</v>
      </c>
      <c r="N983" s="46" t="b">
        <f>ISNUMBER(_xlfn.XMATCH(CONTROL[[#This Row],[VEHIDCODE]],GRAPHICS_PROPERTIES[VEHIDCODE],0))</f>
        <v>1</v>
      </c>
      <c r="O983" s="48" t="str">
        <f>"item_"&amp;CONTROL[[#This Row],[VEHIDCODE]]</f>
        <v>item_electric_Russia_RZD_VL19</v>
      </c>
      <c r="P983" s="48" t="str">
        <f>"str_"&amp;CONTROL[[#This Row],[VEHIDCODE]]</f>
        <v>str_electric_Russia_RZD_VL19</v>
      </c>
      <c r="Q983" s="9" t="b">
        <f>_xlfn.XLOOKUP(CONTROL[[#This Row],[VEHIDCODE]],PROPERTIES[VEHIDCODE],PROPERTIES[EXCLUDE])</f>
        <v>0</v>
      </c>
    </row>
    <row r="984" spans="1:17">
      <c r="A984" s="2" t="s">
        <v>3553</v>
      </c>
      <c r="B984" s="27" t="str">
        <f>_xlfn.TEXTAFTER(CONTROL[[#This Row],[VEHIDCODE]],"_")</f>
        <v>Germany_DRG_E18</v>
      </c>
      <c r="C984" s="46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s="46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3554</v>
      </c>
      <c r="G984" t="s">
        <v>3555</v>
      </c>
      <c r="H984" s="47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s="46" t="b">
        <f>ISNUMBER(_xlfn.XMATCH(CONTROL[[#This Row],[VEHIDCODE]],TRACK_TYPES[VEHIDCODE],0))</f>
        <v>1</v>
      </c>
      <c r="K984" s="46" t="b">
        <f>ISNUMBER(_xlfn.XMATCH(CONTROL[[#This Row],[VEHIDCODE]],PROPERTIES[VEHIDCODE],0))</f>
        <v>1</v>
      </c>
      <c r="L984" s="46" t="b">
        <f>ISNUMBER(_xlfn.XMATCH(CONTROL[[#This Row],[VEHIDCODE]],FLAGS[VEHIDCODE],0))</f>
        <v>1</v>
      </c>
      <c r="M984" s="46" t="b">
        <f>ISNUMBER(_xlfn.XLOOKUP(CONTROL[[#This Row],[VEHIDCODE]],roster!A:A,roster!D:D))</f>
        <v>1</v>
      </c>
      <c r="N984" s="46" t="b">
        <f>ISNUMBER(_xlfn.XMATCH(CONTROL[[#This Row],[VEHIDCODE]],GRAPHICS_PROPERTIES[VEHIDCODE],0))</f>
        <v>1</v>
      </c>
      <c r="O984" s="48" t="str">
        <f>"item_"&amp;CONTROL[[#This Row],[VEHIDCODE]]</f>
        <v>item_electric_Germany_DRG_E18</v>
      </c>
      <c r="P984" s="48" t="str">
        <f>"str_"&amp;CONTROL[[#This Row],[VEHIDCODE]]</f>
        <v>str_electric_Germany_DRG_E18</v>
      </c>
      <c r="Q984" s="9" t="b">
        <f>_xlfn.XLOOKUP(CONTROL[[#This Row],[VEHIDCODE]],PROPERTIES[VEHIDCODE],PROPERTIES[EXCLUDE])</f>
        <v>0</v>
      </c>
    </row>
    <row r="985" spans="1:17">
      <c r="A985" t="s">
        <v>3556</v>
      </c>
      <c r="B985" s="27" t="str">
        <f>_xlfn.TEXTAFTER(CONTROL[[#This Row],[VEHIDCODE]],"_")</f>
        <v>UK_BR_Class_895</v>
      </c>
      <c r="C985" s="46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s="46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3557</v>
      </c>
      <c r="G985" t="s">
        <v>3558</v>
      </c>
      <c r="H985" s="47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s="46" t="b">
        <f>ISNUMBER(_xlfn.XMATCH(CONTROL[[#This Row],[VEHIDCODE]],TRACK_TYPES[VEHIDCODE],0))</f>
        <v>1</v>
      </c>
      <c r="K985" s="46" t="b">
        <f>ISNUMBER(_xlfn.XMATCH(CONTROL[[#This Row],[VEHIDCODE]],PROPERTIES[VEHIDCODE],0))</f>
        <v>1</v>
      </c>
      <c r="L985" s="46" t="b">
        <f>ISNUMBER(_xlfn.XMATCH(CONTROL[[#This Row],[VEHIDCODE]],FLAGS[VEHIDCODE],0))</f>
        <v>1</v>
      </c>
      <c r="M985" s="46" t="b">
        <f>ISNUMBER(_xlfn.XLOOKUP(CONTROL[[#This Row],[VEHIDCODE]],roster!A:A,roster!D:D))</f>
        <v>1</v>
      </c>
      <c r="N985" s="46" t="b">
        <f>ISNUMBER(_xlfn.XMATCH(CONTROL[[#This Row],[VEHIDCODE]],GRAPHICS_PROPERTIES[VEHIDCODE],0))</f>
        <v>1</v>
      </c>
      <c r="O985" s="48" t="str">
        <f>"item_"&amp;CONTROL[[#This Row],[VEHIDCODE]]</f>
        <v>item_emu_UK_BR_Class_895</v>
      </c>
      <c r="P985" s="48" t="str">
        <f>"str_"&amp;CONTROL[[#This Row],[VEHIDCODE]]</f>
        <v>str_emu_UK_BR_Class_895</v>
      </c>
      <c r="Q985" s="9">
        <f>_xlfn.XLOOKUP(CONTROL[[#This Row],[VEHIDCODE]],PROPERTIES[VEHIDCODE],PROPERTIES[EXCLUDE])</f>
        <v>0</v>
      </c>
    </row>
  </sheetData>
  <conditionalFormatting sqref="A1:A940 A974:A977 A985:A1048576">
    <cfRule type="containsText" dxfId="153" priority="10" operator="containsText" text=" ">
      <formula>NOT(ISERROR(SEARCH(" ",A1)))</formula>
    </cfRule>
  </conditionalFormatting>
  <conditionalFormatting sqref="A942:A943">
    <cfRule type="containsText" dxfId="152" priority="5" operator="containsText" text=" ">
      <formula>NOT(ISERROR(SEARCH(" ",A942)))</formula>
    </cfRule>
  </conditionalFormatting>
  <conditionalFormatting sqref="A946:A950 A952:A953">
    <cfRule type="containsText" dxfId="151" priority="17" operator="containsText" text=" ">
      <formula>NOT(ISERROR(SEARCH(" ",A946)))</formula>
    </cfRule>
  </conditionalFormatting>
  <conditionalFormatting sqref="A956:A971">
    <cfRule type="containsText" dxfId="150" priority="3" operator="containsText" text=" ">
      <formula>NOT(ISERROR(SEARCH(" ",A956)))</formula>
    </cfRule>
  </conditionalFormatting>
  <conditionalFormatting sqref="A979:A982">
    <cfRule type="containsText" dxfId="149" priority="1" operator="containsText" text=" ">
      <formula>NOT(ISERROR(SEARCH(" ",A979)))</formula>
    </cfRule>
  </conditionalFormatting>
  <conditionalFormatting sqref="B1:E1 K978:P1048576">
    <cfRule type="cellIs" dxfId="148" priority="15" operator="equal">
      <formula>FALSE</formula>
    </cfRule>
  </conditionalFormatting>
  <conditionalFormatting sqref="E2:E1048576">
    <cfRule type="duplicateValues" dxfId="147" priority="16"/>
  </conditionalFormatting>
  <conditionalFormatting sqref="F1:F1048576">
    <cfRule type="containsText" dxfId="146" priority="18" operator="containsText" text=")">
      <formula>NOT(ISERROR(SEARCH(")",F1)))</formula>
    </cfRule>
    <cfRule type="containsText" dxfId="145" priority="19" operator="containsText" text="(">
      <formula>NOT(ISERROR(SEARCH("(",F1)))</formula>
    </cfRule>
  </conditionalFormatting>
  <conditionalFormatting sqref="H2:H985">
    <cfRule type="containsText" dxfId="144" priority="20" operator="containsText" text="FALSE">
      <formula>NOT(ISERROR(SEARCH("FALSE",H2)))</formula>
    </cfRule>
  </conditionalFormatting>
  <conditionalFormatting sqref="H1:N1">
    <cfRule type="cellIs" dxfId="143" priority="14" operator="equal">
      <formula>FALSE</formula>
    </cfRule>
  </conditionalFormatting>
  <conditionalFormatting sqref="I2:I985">
    <cfRule type="containsText" dxfId="142" priority="24" operator="containsText" text="FALSE">
      <formula>NOT(ISERROR(SEARCH("FALSE",I2)))</formula>
    </cfRule>
  </conditionalFormatting>
  <conditionalFormatting sqref="K896:P977">
    <cfRule type="cellIs" dxfId="141" priority="2" operator="equal">
      <formula>FALSE</formula>
    </cfRule>
  </conditionalFormatting>
  <conditionalFormatting sqref="O1:P1 J2:P795 K796:P803 J804:P804 K805:P814 J815:P821 K822:P831 J832:P833 K834:P894 J895:P895">
    <cfRule type="cellIs" dxfId="140" priority="22" operator="equal">
      <formula>FALSE</formula>
    </cfRule>
  </conditionalFormatting>
  <conditionalFormatting sqref="Q1">
    <cfRule type="cellIs" dxfId="139" priority="7" operator="equal">
      <formula>FALSE</formula>
    </cfRule>
  </conditionalFormatting>
  <conditionalFormatting sqref="Q2:Q985">
    <cfRule type="cellIs" dxfId="138" priority="6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horizontalDpi="0" verticalDpi="0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85"/>
  <sheetViews>
    <sheetView zoomScaleNormal="100" workbookViewId="0">
      <pane xSplit="1" ySplit="1" topLeftCell="Q963" activePane="bottomRight" state="frozen"/>
      <selection pane="topRight" activeCell="B1" sqref="B1"/>
      <selection pane="bottomLeft" activeCell="A2" sqref="A2"/>
      <selection pane="bottomRight" activeCell="AF985" sqref="AF985"/>
    </sheetView>
  </sheetViews>
  <sheetFormatPr defaultRowHeight="14.6"/>
  <cols>
    <col min="1" max="1" width="50.69140625" bestFit="1" customWidth="1"/>
    <col min="2" max="2" width="11.23046875" bestFit="1" customWidth="1"/>
    <col min="3" max="3" width="11.23046875" customWidth="1"/>
    <col min="4" max="4" width="15.23046875" hidden="1" customWidth="1"/>
    <col min="5" max="6" width="15.23046875" customWidth="1"/>
    <col min="7" max="7" width="15.84375" hidden="1" customWidth="1"/>
    <col min="8" max="8" width="17.4609375" customWidth="1"/>
    <col min="9" max="9" width="8.53515625" customWidth="1"/>
    <col min="10" max="11" width="9.23046875" customWidth="1"/>
    <col min="12" max="14" width="6.69140625" hidden="1" customWidth="1"/>
    <col min="15" max="15" width="9" customWidth="1"/>
    <col min="16" max="16" width="12" style="29" customWidth="1"/>
    <col min="17" max="17" width="10.61328125" customWidth="1"/>
    <col min="18" max="18" width="9.23046875" customWidth="1"/>
    <col min="19" max="19" width="8.4609375" style="26" customWidth="1"/>
    <col min="20" max="20" width="8.4609375" customWidth="1"/>
    <col min="21" max="21" width="8.4609375" style="26" customWidth="1"/>
    <col min="22" max="22" width="8.4609375" customWidth="1"/>
    <col min="23" max="23" width="14.4609375" style="23" hidden="1" customWidth="1"/>
    <col min="24" max="24" width="14.4609375" style="2" customWidth="1"/>
    <col min="25" max="25" width="11.84375" bestFit="1" customWidth="1"/>
    <col min="26" max="26" width="12.23046875" bestFit="1" customWidth="1"/>
    <col min="27" max="27" width="11.84375" customWidth="1"/>
    <col min="28" max="28" width="12.23046875" style="2" bestFit="1" customWidth="1"/>
    <col min="29" max="29" width="23" hidden="1" customWidth="1"/>
    <col min="30" max="30" width="35.4609375" hidden="1" customWidth="1"/>
    <col min="31" max="31" width="15.61328125" style="2" hidden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69140625" bestFit="1" customWidth="1"/>
    <col min="48" max="49" width="18.23046875" bestFit="1" customWidth="1"/>
    <col min="50" max="50" width="22.23046875" bestFit="1" customWidth="1"/>
    <col min="51" max="51" width="19.15234375" style="8" bestFit="1" customWidth="1"/>
    <col min="52" max="52" width="17.4609375" style="9" bestFit="1" customWidth="1"/>
    <col min="53" max="53" width="10" style="10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3502</v>
      </c>
      <c r="D1" s="17" t="s">
        <v>2</v>
      </c>
      <c r="E1" s="1" t="s">
        <v>1697</v>
      </c>
      <c r="F1" s="17" t="s">
        <v>2209</v>
      </c>
      <c r="G1" s="17" t="s">
        <v>3</v>
      </c>
      <c r="H1" s="1" t="s">
        <v>1</v>
      </c>
      <c r="I1" s="1" t="s">
        <v>4</v>
      </c>
      <c r="J1" s="1" t="s">
        <v>6</v>
      </c>
      <c r="K1" s="1" t="s">
        <v>3013</v>
      </c>
      <c r="L1" s="17" t="s">
        <v>7</v>
      </c>
      <c r="M1" s="17" t="s">
        <v>1007</v>
      </c>
      <c r="N1" s="17" t="s">
        <v>8</v>
      </c>
      <c r="O1" s="1" t="s">
        <v>9</v>
      </c>
      <c r="P1" s="28" t="s">
        <v>16</v>
      </c>
      <c r="Q1" s="1" t="s">
        <v>10</v>
      </c>
      <c r="R1" s="1" t="s">
        <v>11</v>
      </c>
      <c r="S1" s="24" t="s">
        <v>2216</v>
      </c>
      <c r="T1" s="24" t="s">
        <v>2217</v>
      </c>
      <c r="U1" s="24" t="s">
        <v>2218</v>
      </c>
      <c r="V1" s="17" t="s">
        <v>12</v>
      </c>
      <c r="W1" s="17" t="s">
        <v>13</v>
      </c>
      <c r="X1" s="7" t="s">
        <v>14</v>
      </c>
      <c r="Y1" s="7" t="s">
        <v>15</v>
      </c>
      <c r="Z1" s="1" t="s">
        <v>676</v>
      </c>
      <c r="AA1" s="1" t="s">
        <v>677</v>
      </c>
      <c r="AB1" s="3" t="s">
        <v>678</v>
      </c>
      <c r="AC1" s="17" t="s">
        <v>966</v>
      </c>
      <c r="AD1" s="17" t="s">
        <v>967</v>
      </c>
      <c r="AE1" s="17" t="s">
        <v>983</v>
      </c>
      <c r="AF1" s="17" t="s">
        <v>2215</v>
      </c>
      <c r="AG1" s="1" t="s">
        <v>2461</v>
      </c>
      <c r="AH1" s="5" t="s">
        <v>3392</v>
      </c>
    </row>
    <row r="2" spans="1:53">
      <c r="A2" s="2" t="s">
        <v>709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2" t="str">
        <f>_xlfn.XLOOKUP(PROPERTIES[[#This Row],[COUNTRY]],COUNTRIES[COUNTRY_DESCRIPTION],COUNTRIES[COUNTRY_LABEL],"")</f>
        <v/>
      </c>
      <c r="G2" t="str" cm="1">
        <f t="array" ref="G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2" t="s">
        <v>17</v>
      </c>
      <c r="I2">
        <v>1</v>
      </c>
      <c r="J2">
        <v>8</v>
      </c>
      <c r="K2">
        <v>8</v>
      </c>
      <c r="L2" t="str" cm="1">
        <f t="array" ref="L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">
        <f>_xlfn.XLOOKUP("LOADINGSPEEDDEF_"&amp;PROPERTIES[[#This Row],[LOADINGSPEED]],LOADINGSPEEDDEF[TYPE],LOADINGSPEEDDEF[SPEED])</f>
        <v>40</v>
      </c>
      <c r="N2" t="str" cm="1">
        <f t="array" ref="N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">
        <f>IF(ISNUMBER(SEARCH("passenger",PROPERTIES[[#This Row],[CARGODEF]])),1,0)</f>
        <v>1</v>
      </c>
      <c r="P2" s="29">
        <v>0</v>
      </c>
      <c r="Q2">
        <v>0</v>
      </c>
      <c r="R2">
        <v>0</v>
      </c>
      <c r="S2" s="26">
        <v>0</v>
      </c>
      <c r="T2" s="25">
        <f>IFERROR(PROPERTIES[[#This Row],[TE_STARTING_KN]]/(PROPERTIES[[#This Row],[WEIGHT]]*9.81),0)</f>
        <v>0</v>
      </c>
      <c r="U2" s="25">
        <v>0.3</v>
      </c>
      <c r="V2" s="22">
        <f>ROUND(IF(IFERROR(PROPERTIES[[#This Row],[TE_COEFFICIENT_CALC]],0)=0,PROPERTIES[[#This Row],[TE_COEFFICIENT_MANUAL]],PROPERTIES[[#This Row],[TE_COEFFICIENT_CALC]]),3)</f>
        <v>0.3</v>
      </c>
      <c r="W2" s="44" cm="1">
        <f t="array" ref="W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2" s="32">
        <v>0</v>
      </c>
      <c r="Y2" s="8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8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9" t="b">
        <v>0</v>
      </c>
      <c r="AY2"/>
      <c r="AZ2"/>
      <c r="BA2"/>
    </row>
    <row r="3" spans="1:53">
      <c r="A3" s="2" t="s">
        <v>710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3" t="str">
        <f>_xlfn.XLOOKUP(PROPERTIES[[#This Row],[COUNTRY]],COUNTRIES[COUNTRY_DESCRIPTION],COUNTRIES[COUNTRY_LABEL],"")</f>
        <v/>
      </c>
      <c r="G3" t="str" cm="1">
        <f t="array" ref="G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" t="s">
        <v>17</v>
      </c>
      <c r="I3">
        <v>1</v>
      </c>
      <c r="J3">
        <v>8</v>
      </c>
      <c r="K3">
        <v>8</v>
      </c>
      <c r="L3" t="str" cm="1">
        <f t="array" ref="L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">
        <f>_xlfn.XLOOKUP("LOADINGSPEEDDEF_"&amp;PROPERTIES[[#This Row],[LOADINGSPEED]],LOADINGSPEEDDEF[TYPE],LOADINGSPEEDDEF[SPEED])</f>
        <v>40</v>
      </c>
      <c r="N3" t="str" cm="1">
        <f t="array" ref="N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">
        <f>IF(ISNUMBER(SEARCH("passenger",PROPERTIES[[#This Row],[CARGODEF]])),1,0)</f>
        <v>1</v>
      </c>
      <c r="P3" s="29">
        <v>0</v>
      </c>
      <c r="Q3">
        <v>0</v>
      </c>
      <c r="R3">
        <v>0</v>
      </c>
      <c r="S3" s="26">
        <v>0</v>
      </c>
      <c r="T3" s="25">
        <f>IFERROR(PROPERTIES[[#This Row],[TE_STARTING_KN]]/(PROPERTIES[[#This Row],[WEIGHT]]*9.81),0)</f>
        <v>0</v>
      </c>
      <c r="U3" s="25">
        <v>0.3</v>
      </c>
      <c r="V3" s="22">
        <f>ROUND(IF(IFERROR(PROPERTIES[[#This Row],[TE_COEFFICIENT_CALC]],0)=0,PROPERTIES[[#This Row],[TE_COEFFICIENT_MANUAL]],PROPERTIES[[#This Row],[TE_COEFFICIENT_CALC]]),3)</f>
        <v>0.3</v>
      </c>
      <c r="W3" s="10" cm="1">
        <f t="array" ref="W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3" s="32">
        <v>0</v>
      </c>
      <c r="Y3" s="8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8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9" t="b">
        <v>0</v>
      </c>
      <c r="AY3"/>
      <c r="AZ3"/>
      <c r="BA3"/>
    </row>
    <row r="4" spans="1:53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t="s">
        <v>1709</v>
      </c>
      <c r="F4" t="str">
        <f>_xlfn.XLOOKUP(PROPERTIES[[#This Row],[COUNTRY]],COUNTRIES[COUNTRY_DESCRIPTION],COUNTRIES[COUNTRY_LABEL],"")</f>
        <v>AT</v>
      </c>
      <c r="G4" t="str" cm="1">
        <f t="array" ref="G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4" t="s">
        <v>17</v>
      </c>
      <c r="I4">
        <v>22</v>
      </c>
      <c r="J4">
        <v>5</v>
      </c>
      <c r="K4">
        <v>5</v>
      </c>
      <c r="L4" t="str" cm="1">
        <f t="array" ref="L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">
        <f>_xlfn.XLOOKUP("LOADINGSPEEDDEF_"&amp;PROPERTIES[[#This Row],[LOADINGSPEED]],LOADINGSPEEDDEF[TYPE],LOADINGSPEEDDEF[SPEED])</f>
        <v>40</v>
      </c>
      <c r="N4" cm="1">
        <f t="array" ref="N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">
        <f>IF(ISNUMBER(SEARCH("passenger",PROPERTIES[[#This Row],[CARGODEF]])),1,0)</f>
        <v>1</v>
      </c>
      <c r="P4" s="29">
        <v>8</v>
      </c>
      <c r="Q4">
        <v>39</v>
      </c>
      <c r="R4">
        <v>35</v>
      </c>
      <c r="S4" s="26">
        <v>0</v>
      </c>
      <c r="T4" s="25">
        <f>IFERROR(PROPERTIES[[#This Row],[TE_STARTING_KN]]/(PROPERTIES[[#This Row],[WEIGHT]]*9.81),0)</f>
        <v>0</v>
      </c>
      <c r="U4" s="25">
        <v>0.18</v>
      </c>
      <c r="V4" s="22">
        <f>ROUND(IF(IFERROR(PROPERTIES[[#This Row],[TE_COEFFICIENT_CALC]],0)=0,PROPERTIES[[#This Row],[TE_COEFFICIENT_MANUAL]],PROPERTIES[[#This Row],[TE_COEFFICIENT_CALC]]),3)</f>
        <v>0.18</v>
      </c>
      <c r="W4" s="10" cm="1">
        <f t="array" ref="W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" s="32">
        <v>0</v>
      </c>
      <c r="Y4" s="8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8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9" t="b">
        <v>0</v>
      </c>
      <c r="AY4"/>
      <c r="AZ4"/>
      <c r="BA4"/>
    </row>
    <row r="5" spans="1:53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t="s">
        <v>1806</v>
      </c>
      <c r="F5" t="str">
        <f>_xlfn.XLOOKUP(PROPERTIES[[#This Row],[COUNTRY]],COUNTRIES[COUNTRY_DESCRIPTION],COUNTRIES[COUNTRY_LABEL],"")</f>
        <v>IT</v>
      </c>
      <c r="G5" t="str" cm="1">
        <f t="array" ref="G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" t="s">
        <v>17</v>
      </c>
      <c r="I5">
        <v>86</v>
      </c>
      <c r="J5">
        <v>8</v>
      </c>
      <c r="K5">
        <v>8</v>
      </c>
      <c r="L5" t="str" cm="1">
        <f t="array" ref="L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">
        <f>_xlfn.XLOOKUP("LOADINGSPEEDDEF_"&amp;PROPERTIES[[#This Row],[LOADINGSPEED]],LOADINGSPEEDDEF[TYPE],LOADINGSPEEDDEF[SPEED])</f>
        <v>40</v>
      </c>
      <c r="N5" cm="1">
        <f t="array" ref="N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">
        <f>IF(ISNUMBER(SEARCH("passenger",PROPERTIES[[#This Row],[CARGODEF]])),1,0)</f>
        <v>1</v>
      </c>
      <c r="P5" s="29">
        <v>47</v>
      </c>
      <c r="Q5">
        <v>170</v>
      </c>
      <c r="R5">
        <v>55</v>
      </c>
      <c r="S5" s="26">
        <v>0</v>
      </c>
      <c r="T5" s="25">
        <f>IFERROR(PROPERTIES[[#This Row],[TE_STARTING_KN]]/(PROPERTIES[[#This Row],[WEIGHT]]*9.81),0)</f>
        <v>0</v>
      </c>
      <c r="U5" s="25">
        <v>0.08</v>
      </c>
      <c r="V5" s="22">
        <f>ROUND(IF(IFERROR(PROPERTIES[[#This Row],[TE_COEFFICIENT_CALC]],0)=0,PROPERTIES[[#This Row],[TE_COEFFICIENT_MANUAL]],PROPERTIES[[#This Row],[TE_COEFFICIENT_CALC]]),3)</f>
        <v>0.08</v>
      </c>
      <c r="W5" s="10" cm="1">
        <f t="array" ref="W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" s="32">
        <v>0</v>
      </c>
      <c r="Y5" s="8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8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9" t="b">
        <v>0</v>
      </c>
      <c r="AY5"/>
      <c r="AZ5"/>
      <c r="BA5"/>
    </row>
    <row r="6" spans="1:53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t="s">
        <v>1710</v>
      </c>
      <c r="F6" t="str">
        <f>_xlfn.XLOOKUP(PROPERTIES[[#This Row],[COUNTRY]],COUNTRIES[COUNTRY_DESCRIPTION],COUNTRIES[COUNTRY_LABEL],"")</f>
        <v>AU</v>
      </c>
      <c r="G6" t="str" cm="1">
        <f t="array" ref="G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" t="s">
        <v>17</v>
      </c>
      <c r="I6">
        <v>42</v>
      </c>
      <c r="J6">
        <v>6</v>
      </c>
      <c r="K6">
        <v>6</v>
      </c>
      <c r="L6" t="str" cm="1">
        <f t="array" ref="L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">
        <f>_xlfn.XLOOKUP("LOADINGSPEEDDEF_"&amp;PROPERTIES[[#This Row],[LOADINGSPEED]],LOADINGSPEEDDEF[TYPE],LOADINGSPEEDDEF[SPEED])</f>
        <v>40</v>
      </c>
      <c r="N6" cm="1">
        <f t="array" ref="N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">
        <f>IF(ISNUMBER(SEARCH("passenger",PROPERTIES[[#This Row],[CARGODEF]])),1,0)</f>
        <v>1</v>
      </c>
      <c r="P6" s="29">
        <v>15</v>
      </c>
      <c r="Q6">
        <v>40</v>
      </c>
      <c r="R6">
        <v>48</v>
      </c>
      <c r="S6" s="26">
        <v>16</v>
      </c>
      <c r="T6" s="25">
        <f>IFERROR(PROPERTIES[[#This Row],[TE_STARTING_KN]]/(PROPERTIES[[#This Row],[WEIGHT]]*9.81),0)</f>
        <v>0.10873258579680598</v>
      </c>
      <c r="U6" s="25">
        <v>0.34</v>
      </c>
      <c r="V6" s="22">
        <f>ROUND(IF(IFERROR(PROPERTIES[[#This Row],[TE_COEFFICIENT_CALC]],0)=0,PROPERTIES[[#This Row],[TE_COEFFICIENT_MANUAL]],PROPERTIES[[#This Row],[TE_COEFFICIENT_CALC]]),3)</f>
        <v>0.109</v>
      </c>
      <c r="W6" s="10" cm="1">
        <f t="array" ref="W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" s="32">
        <v>0</v>
      </c>
      <c r="Y6" s="8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8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9" t="b">
        <v>0</v>
      </c>
      <c r="AY6"/>
      <c r="AZ6"/>
      <c r="BA6"/>
    </row>
    <row r="7" spans="1:53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t="s">
        <v>1740</v>
      </c>
      <c r="F7" t="str">
        <f>_xlfn.XLOOKUP(PROPERTIES[[#This Row],[COUNTRY]],COUNTRIES[COUNTRY_DESCRIPTION],COUNTRIES[COUNTRY_LABEL],"")</f>
        <v>CH</v>
      </c>
      <c r="G7" t="str" cm="1">
        <f t="array" ref="G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" t="s">
        <v>17</v>
      </c>
      <c r="I7">
        <v>30</v>
      </c>
      <c r="J7">
        <v>5</v>
      </c>
      <c r="K7">
        <v>5</v>
      </c>
      <c r="L7" t="str" cm="1">
        <f t="array" ref="L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">
        <f>_xlfn.XLOOKUP("LOADINGSPEEDDEF_"&amp;PROPERTIES[[#This Row],[LOADINGSPEED]],LOADINGSPEEDDEF[TYPE],LOADINGSPEEDDEF[SPEED])</f>
        <v>40</v>
      </c>
      <c r="N7" cm="1">
        <f t="array" ref="N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">
        <f>IF(ISNUMBER(SEARCH("passenger",PROPERTIES[[#This Row],[CARGODEF]])),1,0)</f>
        <v>1</v>
      </c>
      <c r="P7" s="29">
        <v>21</v>
      </c>
      <c r="Q7">
        <v>99</v>
      </c>
      <c r="R7">
        <v>45</v>
      </c>
      <c r="S7" s="26">
        <v>0</v>
      </c>
      <c r="T7" s="25">
        <f>IFERROR(PROPERTIES[[#This Row],[TE_STARTING_KN]]/(PROPERTIES[[#This Row],[WEIGHT]]*9.81),0)</f>
        <v>0</v>
      </c>
      <c r="U7" s="25">
        <v>0.34</v>
      </c>
      <c r="V7" s="22">
        <f>ROUND(IF(IFERROR(PROPERTIES[[#This Row],[TE_COEFFICIENT_CALC]],0)=0,PROPERTIES[[#This Row],[TE_COEFFICIENT_MANUAL]],PROPERTIES[[#This Row],[TE_COEFFICIENT_CALC]]),3)</f>
        <v>0.34</v>
      </c>
      <c r="W7" s="10" cm="1">
        <f t="array" ref="W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" s="32">
        <v>0</v>
      </c>
      <c r="Y7" s="8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8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9" t="b">
        <v>0</v>
      </c>
      <c r="AY7"/>
      <c r="AZ7"/>
      <c r="BA7"/>
    </row>
    <row r="8" spans="1:53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t="s">
        <v>1754</v>
      </c>
      <c r="F8" t="str">
        <f>_xlfn.XLOOKUP(PROPERTIES[[#This Row],[COUNTRY]],COUNTRIES[COUNTRY_DESCRIPTION],COUNTRIES[COUNTRY_LABEL],"")</f>
        <v>DE</v>
      </c>
      <c r="G8" t="str" cm="1">
        <f t="array" ref="G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" t="s">
        <v>17</v>
      </c>
      <c r="I8">
        <v>52</v>
      </c>
      <c r="J8">
        <v>8</v>
      </c>
      <c r="K8">
        <v>8</v>
      </c>
      <c r="L8" t="str" cm="1">
        <f t="array" ref="L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">
        <f>_xlfn.XLOOKUP("LOADINGSPEEDDEF_"&amp;PROPERTIES[[#This Row],[LOADINGSPEED]],LOADINGSPEEDDEF[TYPE],LOADINGSPEEDDEF[SPEED])</f>
        <v>40</v>
      </c>
      <c r="N8" cm="1">
        <f t="array" ref="N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">
        <f>IF(ISNUMBER(SEARCH("passenger",PROPERTIES[[#This Row],[CARGODEF]])),1,0)</f>
        <v>1</v>
      </c>
      <c r="P8" s="29">
        <v>32</v>
      </c>
      <c r="Q8">
        <v>195</v>
      </c>
      <c r="R8">
        <v>50</v>
      </c>
      <c r="S8" s="26">
        <v>0</v>
      </c>
      <c r="T8" s="25">
        <f>IFERROR(PROPERTIES[[#This Row],[TE_STARTING_KN]]/(PROPERTIES[[#This Row],[WEIGHT]]*9.81),0)</f>
        <v>0</v>
      </c>
      <c r="U8" s="25">
        <v>0.34</v>
      </c>
      <c r="V8" s="22">
        <f>ROUND(IF(IFERROR(PROPERTIES[[#This Row],[TE_COEFFICIENT_CALC]],0)=0,PROPERTIES[[#This Row],[TE_COEFFICIENT_MANUAL]],PROPERTIES[[#This Row],[TE_COEFFICIENT_CALC]]),3)</f>
        <v>0.34</v>
      </c>
      <c r="W8" s="10" cm="1">
        <f t="array" ref="W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" s="32">
        <v>0</v>
      </c>
      <c r="Y8" s="8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8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9" t="b">
        <v>0</v>
      </c>
      <c r="AY8"/>
      <c r="AZ8"/>
      <c r="BA8"/>
    </row>
    <row r="9" spans="1:53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t="s">
        <v>1942</v>
      </c>
      <c r="F9" t="str">
        <f>_xlfn.XLOOKUP(PROPERTIES[[#This Row],[COUNTRY]],COUNTRIES[COUNTRY_DESCRIPTION],COUNTRIES[COUNTRY_LABEL],"")</f>
        <v>ZA</v>
      </c>
      <c r="G9" t="str" cm="1">
        <f t="array" ref="G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" t="s">
        <v>17</v>
      </c>
      <c r="I9">
        <v>50</v>
      </c>
      <c r="J9">
        <v>8</v>
      </c>
      <c r="K9">
        <v>10</v>
      </c>
      <c r="L9" t="str" cm="1">
        <f t="array" ref="L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">
        <f>_xlfn.XLOOKUP("LOADINGSPEEDDEF_"&amp;PROPERTIES[[#This Row],[LOADINGSPEED]],LOADINGSPEEDDEF[TYPE],LOADINGSPEEDDEF[SPEED])</f>
        <v>40</v>
      </c>
      <c r="N9" cm="1">
        <f t="array" ref="N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">
        <f>IF(ISNUMBER(SEARCH("passenger",PROPERTIES[[#This Row],[CARGODEF]])),1,0)</f>
        <v>1</v>
      </c>
      <c r="P9" s="29">
        <v>48</v>
      </c>
      <c r="Q9">
        <v>40</v>
      </c>
      <c r="R9">
        <v>48</v>
      </c>
      <c r="S9" s="26">
        <v>28.26</v>
      </c>
      <c r="T9" s="25">
        <f>IFERROR(PROPERTIES[[#This Row],[TE_STARTING_KN]]/(PROPERTIES[[#This Row],[WEIGHT]]*9.81),0)</f>
        <v>6.0015290519877681E-2</v>
      </c>
      <c r="U9" s="25">
        <v>0.08</v>
      </c>
      <c r="V9" s="22">
        <f>ROUND(IF(IFERROR(PROPERTIES[[#This Row],[TE_COEFFICIENT_CALC]],0)=0,PROPERTIES[[#This Row],[TE_COEFFICIENT_MANUAL]],PROPERTIES[[#This Row],[TE_COEFFICIENT_CALC]]),3)</f>
        <v>0.06</v>
      </c>
      <c r="W9" s="10" cm="1">
        <f t="array" ref="W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" s="32">
        <v>0</v>
      </c>
      <c r="Y9" s="8">
        <v>2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8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9" t="b">
        <v>0</v>
      </c>
      <c r="AY9"/>
      <c r="AZ9"/>
      <c r="BA9"/>
    </row>
    <row r="10" spans="1:53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t="s">
        <v>1710</v>
      </c>
      <c r="F10" t="str">
        <f>_xlfn.XLOOKUP(PROPERTIES[[#This Row],[COUNTRY]],COUNTRIES[COUNTRY_DESCRIPTION],COUNTRIES[COUNTRY_LABEL],"")</f>
        <v>AU</v>
      </c>
      <c r="G10" t="str" cm="1">
        <f t="array" ref="G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" t="s">
        <v>17</v>
      </c>
      <c r="I10">
        <v>32</v>
      </c>
      <c r="J10">
        <v>6</v>
      </c>
      <c r="K10">
        <v>6</v>
      </c>
      <c r="L10" t="str" cm="1">
        <f t="array" ref="L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0">
        <f>_xlfn.XLOOKUP("LOADINGSPEEDDEF_"&amp;PROPERTIES[[#This Row],[LOADINGSPEED]],LOADINGSPEEDDEF[TYPE],LOADINGSPEEDDEF[SPEED])</f>
        <v>40</v>
      </c>
      <c r="N10" cm="1">
        <f t="array" ref="N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">
        <f>IF(ISNUMBER(SEARCH("passenger",PROPERTIES[[#This Row],[CARGODEF]])),1,0)</f>
        <v>1</v>
      </c>
      <c r="P10" s="29">
        <v>42</v>
      </c>
      <c r="Q10">
        <v>91</v>
      </c>
      <c r="R10">
        <v>55</v>
      </c>
      <c r="S10" s="26">
        <v>0</v>
      </c>
      <c r="T10" s="25">
        <f>IFERROR(PROPERTIES[[#This Row],[TE_STARTING_KN]]/(PROPERTIES[[#This Row],[WEIGHT]]*9.81),0)</f>
        <v>0</v>
      </c>
      <c r="U10" s="25">
        <v>0.14000000000000001</v>
      </c>
      <c r="V10" s="22">
        <f>ROUND(IF(IFERROR(PROPERTIES[[#This Row],[TE_COEFFICIENT_CALC]],0)=0,PROPERTIES[[#This Row],[TE_COEFFICIENT_MANUAL]],PROPERTIES[[#This Row],[TE_COEFFICIENT_CALC]]),3)</f>
        <v>0.14000000000000001</v>
      </c>
      <c r="W10" s="10" cm="1">
        <f t="array" ref="W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" s="32">
        <v>0</v>
      </c>
      <c r="Y10" s="8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8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9" t="b">
        <v>0</v>
      </c>
      <c r="AY10"/>
      <c r="AZ10"/>
      <c r="BA10"/>
    </row>
    <row r="11" spans="1:53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t="s">
        <v>1709</v>
      </c>
      <c r="F11" t="str">
        <f>_xlfn.XLOOKUP(PROPERTIES[[#This Row],[COUNTRY]],COUNTRIES[COUNTRY_DESCRIPTION],COUNTRIES[COUNTRY_LABEL],"")</f>
        <v>AT</v>
      </c>
      <c r="G11" t="str" cm="1">
        <f t="array" ref="G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" t="s">
        <v>29</v>
      </c>
      <c r="I11">
        <v>14</v>
      </c>
      <c r="J11">
        <v>5</v>
      </c>
      <c r="K11">
        <v>5</v>
      </c>
      <c r="L11" t="str" cm="1">
        <f t="array" ref="L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">
        <f>_xlfn.XLOOKUP("LOADINGSPEEDDEF_"&amp;PROPERTIES[[#This Row],[LOADINGSPEED]],LOADINGSPEEDDEF[TYPE],LOADINGSPEEDDEF[SPEED])</f>
        <v>20</v>
      </c>
      <c r="N11" cm="1">
        <f t="array" ref="N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">
        <f>IF(ISNUMBER(SEARCH("passenger",PROPERTIES[[#This Row],[CARGODEF]])),1,0)</f>
        <v>0</v>
      </c>
      <c r="P11" s="29">
        <v>23</v>
      </c>
      <c r="Q11">
        <v>28</v>
      </c>
      <c r="R11">
        <v>80</v>
      </c>
      <c r="S11" s="26">
        <v>0</v>
      </c>
      <c r="T11" s="25">
        <f>IFERROR(PROPERTIES[[#This Row],[TE_STARTING_KN]]/(PROPERTIES[[#This Row],[WEIGHT]]*9.81),0)</f>
        <v>0</v>
      </c>
      <c r="U11" s="25">
        <v>7.0000000000000007E-2</v>
      </c>
      <c r="V11" s="22">
        <f>ROUND(IF(IFERROR(PROPERTIES[[#This Row],[TE_COEFFICIENT_CALC]],0)=0,PROPERTIES[[#This Row],[TE_COEFFICIENT_MANUAL]],PROPERTIES[[#This Row],[TE_COEFFICIENT_CALC]]),3)</f>
        <v>7.0000000000000007E-2</v>
      </c>
      <c r="W11" s="10" cm="1">
        <f t="array" ref="W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" s="32">
        <v>0</v>
      </c>
      <c r="Y11" s="8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8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9" t="b">
        <v>0</v>
      </c>
      <c r="AY11"/>
      <c r="AZ11"/>
      <c r="BA11"/>
    </row>
    <row r="12" spans="1:53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t="s">
        <v>1710</v>
      </c>
      <c r="F12" t="str">
        <f>_xlfn.XLOOKUP(PROPERTIES[[#This Row],[COUNTRY]],COUNTRIES[COUNTRY_DESCRIPTION],COUNTRIES[COUNTRY_LABEL],"")</f>
        <v>AU</v>
      </c>
      <c r="G12" t="str" cm="1">
        <f t="array" ref="G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2" t="s">
        <v>17</v>
      </c>
      <c r="I12">
        <v>37</v>
      </c>
      <c r="J12">
        <v>5</v>
      </c>
      <c r="K12">
        <v>5</v>
      </c>
      <c r="L12" t="str" cm="1">
        <f t="array" ref="L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2">
        <f>_xlfn.XLOOKUP("LOADINGSPEEDDEF_"&amp;PROPERTIES[[#This Row],[LOADINGSPEED]],LOADINGSPEEDDEF[TYPE],LOADINGSPEEDDEF[SPEED])</f>
        <v>40</v>
      </c>
      <c r="N12" cm="1">
        <f t="array" ref="N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">
        <f>IF(ISNUMBER(SEARCH("passenger",PROPERTIES[[#This Row],[CARGODEF]])),1,0)</f>
        <v>1</v>
      </c>
      <c r="P12" s="29">
        <v>24</v>
      </c>
      <c r="Q12">
        <v>45</v>
      </c>
      <c r="R12">
        <v>50</v>
      </c>
      <c r="S12" s="26">
        <v>0</v>
      </c>
      <c r="T12" s="25">
        <f>IFERROR(PROPERTIES[[#This Row],[TE_STARTING_KN]]/(PROPERTIES[[#This Row],[WEIGHT]]*9.81),0)</f>
        <v>0</v>
      </c>
      <c r="U12" s="25">
        <v>0.1</v>
      </c>
      <c r="V12" s="22">
        <f>ROUND(IF(IFERROR(PROPERTIES[[#This Row],[TE_COEFFICIENT_CALC]],0)=0,PROPERTIES[[#This Row],[TE_COEFFICIENT_MANUAL]],PROPERTIES[[#This Row],[TE_COEFFICIENT_CALC]]),3)</f>
        <v>0.1</v>
      </c>
      <c r="W12" s="10" cm="1">
        <f t="array" ref="W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" s="32">
        <v>0</v>
      </c>
      <c r="Y12" s="8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8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9" t="b">
        <v>0</v>
      </c>
      <c r="AY12"/>
      <c r="AZ12"/>
      <c r="BA12"/>
    </row>
    <row r="13" spans="1:53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t="s">
        <v>1754</v>
      </c>
      <c r="F13" t="str">
        <f>_xlfn.XLOOKUP(PROPERTIES[[#This Row],[COUNTRY]],COUNTRIES[COUNTRY_DESCRIPTION],COUNTRIES[COUNTRY_LABEL],"")</f>
        <v>DE</v>
      </c>
      <c r="G13" t="str" cm="1">
        <f t="array" ref="G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3" t="s">
        <v>17</v>
      </c>
      <c r="I13">
        <v>24</v>
      </c>
      <c r="J13">
        <v>6</v>
      </c>
      <c r="K13">
        <v>6</v>
      </c>
      <c r="L13" t="str" cm="1">
        <f t="array" ref="L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3">
        <f>_xlfn.XLOOKUP("LOADINGSPEEDDEF_"&amp;PROPERTIES[[#This Row],[LOADINGSPEED]],LOADINGSPEEDDEF[TYPE],LOADINGSPEEDDEF[SPEED])</f>
        <v>40</v>
      </c>
      <c r="N13" cm="1">
        <f t="array" ref="N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">
        <f>IF(ISNUMBER(SEARCH("passenger",PROPERTIES[[#This Row],[CARGODEF]])),1,0)</f>
        <v>1</v>
      </c>
      <c r="P13" s="29">
        <v>6</v>
      </c>
      <c r="Q13">
        <v>38</v>
      </c>
      <c r="R13">
        <v>56</v>
      </c>
      <c r="S13" s="26">
        <v>0</v>
      </c>
      <c r="T13" s="25">
        <f>IFERROR(PROPERTIES[[#This Row],[TE_STARTING_KN]]/(PROPERTIES[[#This Row],[WEIGHT]]*9.81),0)</f>
        <v>0</v>
      </c>
      <c r="U13" s="25">
        <v>0.5</v>
      </c>
      <c r="V13" s="22">
        <f>ROUND(IF(IFERROR(PROPERTIES[[#This Row],[TE_COEFFICIENT_CALC]],0)=0,PROPERTIES[[#This Row],[TE_COEFFICIENT_MANUAL]],PROPERTIES[[#This Row],[TE_COEFFICIENT_CALC]]),3)</f>
        <v>0.5</v>
      </c>
      <c r="W13" s="10" cm="1">
        <f t="array" ref="W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" s="32">
        <v>0</v>
      </c>
      <c r="Y13" s="8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8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9" t="b">
        <v>0</v>
      </c>
      <c r="AY13"/>
      <c r="AZ13"/>
      <c r="BA13"/>
    </row>
    <row r="14" spans="1:53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t="s">
        <v>1773</v>
      </c>
      <c r="F14" t="str">
        <f>_xlfn.XLOOKUP(PROPERTIES[[#This Row],[COUNTRY]],COUNTRIES[COUNTRY_DESCRIPTION],COUNTRIES[COUNTRY_LABEL],"")</f>
        <v>GB</v>
      </c>
      <c r="G14" t="str" cm="1">
        <f t="array" ref="G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4" t="s">
        <v>17</v>
      </c>
      <c r="I14">
        <v>69</v>
      </c>
      <c r="J14">
        <v>6</v>
      </c>
      <c r="K14">
        <v>6</v>
      </c>
      <c r="L14" t="str" cm="1">
        <f t="array" ref="L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4">
        <f>_xlfn.XLOOKUP("LOADINGSPEEDDEF_"&amp;PROPERTIES[[#This Row],[LOADINGSPEED]],LOADINGSPEEDDEF[TYPE],LOADINGSPEEDDEF[SPEED])</f>
        <v>40</v>
      </c>
      <c r="N14" cm="1">
        <f t="array" ref="N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">
        <f>IF(ISNUMBER(SEARCH("passenger",PROPERTIES[[#This Row],[CARGODEF]])),1,0)</f>
        <v>1</v>
      </c>
      <c r="P14" s="29">
        <v>24</v>
      </c>
      <c r="Q14">
        <v>130</v>
      </c>
      <c r="R14">
        <v>101</v>
      </c>
      <c r="S14" s="26">
        <v>0</v>
      </c>
      <c r="T14" s="25">
        <f>IFERROR(PROPERTIES[[#This Row],[TE_STARTING_KN]]/(PROPERTIES[[#This Row],[WEIGHT]]*9.81),0)</f>
        <v>0</v>
      </c>
      <c r="U14" s="25">
        <v>0.27</v>
      </c>
      <c r="V14" s="22">
        <f>ROUND(IF(IFERROR(PROPERTIES[[#This Row],[TE_COEFFICIENT_CALC]],0)=0,PROPERTIES[[#This Row],[TE_COEFFICIENT_MANUAL]],PROPERTIES[[#This Row],[TE_COEFFICIENT_CALC]]),3)</f>
        <v>0.27</v>
      </c>
      <c r="W14" s="10" cm="1">
        <f t="array" ref="W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" s="32">
        <v>0</v>
      </c>
      <c r="Y14" s="8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8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9" t="b">
        <v>0</v>
      </c>
      <c r="AY14"/>
      <c r="AZ14"/>
      <c r="BA14"/>
    </row>
    <row r="15" spans="1:53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t="s">
        <v>1709</v>
      </c>
      <c r="F15" t="str">
        <f>_xlfn.XLOOKUP(PROPERTIES[[#This Row],[COUNTRY]],COUNTRIES[COUNTRY_DESCRIPTION],COUNTRIES[COUNTRY_LABEL],"")</f>
        <v>AT</v>
      </c>
      <c r="G15" t="str" cm="1">
        <f t="array" ref="G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5" t="s">
        <v>17</v>
      </c>
      <c r="I15">
        <v>78</v>
      </c>
      <c r="J15">
        <v>8</v>
      </c>
      <c r="K15">
        <v>8</v>
      </c>
      <c r="L15" t="str" cm="1">
        <f t="array" ref="L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5">
        <f>_xlfn.XLOOKUP("LOADINGSPEEDDEF_"&amp;PROPERTIES[[#This Row],[LOADINGSPEED]],LOADINGSPEEDDEF[TYPE],LOADINGSPEEDDEF[SPEED])</f>
        <v>40</v>
      </c>
      <c r="N15" cm="1">
        <f t="array" ref="N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">
        <f>IF(ISNUMBER(SEARCH("passenger",PROPERTIES[[#This Row],[CARGODEF]])),1,0)</f>
        <v>1</v>
      </c>
      <c r="P15" s="29">
        <v>59</v>
      </c>
      <c r="Q15">
        <v>210</v>
      </c>
      <c r="R15">
        <v>110</v>
      </c>
      <c r="S15" s="26">
        <v>50</v>
      </c>
      <c r="T15" s="25">
        <f>IFERROR(PROPERTIES[[#This Row],[TE_STARTING_KN]]/(PROPERTIES[[#This Row],[WEIGHT]]*9.81),0)</f>
        <v>8.6387117952970841E-2</v>
      </c>
      <c r="U15" s="25">
        <v>0.08</v>
      </c>
      <c r="V15" s="22">
        <f>ROUND(IF(IFERROR(PROPERTIES[[#This Row],[TE_COEFFICIENT_CALC]],0)=0,PROPERTIES[[#This Row],[TE_COEFFICIENT_MANUAL]],PROPERTIES[[#This Row],[TE_COEFFICIENT_CALC]]),3)</f>
        <v>8.5999999999999993E-2</v>
      </c>
      <c r="W15" s="10" cm="1">
        <f t="array" ref="W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5" s="32">
        <v>0</v>
      </c>
      <c r="Y15" s="8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8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9" t="b">
        <v>0</v>
      </c>
      <c r="AY15"/>
      <c r="AZ15"/>
      <c r="BA15"/>
    </row>
    <row r="16" spans="1:53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t="s">
        <v>1867</v>
      </c>
      <c r="F16" t="str">
        <f>_xlfn.XLOOKUP(PROPERTIES[[#This Row],[COUNTRY]],COUNTRIES[COUNTRY_DESCRIPTION],COUNTRIES[COUNTRY_LABEL],"")</f>
        <v>NZ</v>
      </c>
      <c r="G16" t="str" cm="1">
        <f t="array" ref="G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6" t="s">
        <v>17</v>
      </c>
      <c r="I16">
        <v>50</v>
      </c>
      <c r="J16">
        <v>8</v>
      </c>
      <c r="K16">
        <v>8</v>
      </c>
      <c r="L16" t="str" cm="1">
        <f t="array" ref="L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6">
        <f>_xlfn.XLOOKUP("LOADINGSPEEDDEF_"&amp;PROPERTIES[[#This Row],[LOADINGSPEED]],LOADINGSPEEDDEF[TYPE],LOADINGSPEEDDEF[SPEED])</f>
        <v>40</v>
      </c>
      <c r="N16" cm="1">
        <f t="array" ref="N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">
        <f>IF(ISNUMBER(SEARCH("passenger",PROPERTIES[[#This Row],[CARGODEF]])),1,0)</f>
        <v>1</v>
      </c>
      <c r="P16" s="29">
        <v>30</v>
      </c>
      <c r="Q16">
        <f>114*2</f>
        <v>228</v>
      </c>
      <c r="R16">
        <v>100</v>
      </c>
      <c r="S16" s="26">
        <v>0</v>
      </c>
      <c r="T16" s="25">
        <f>IFERROR(PROPERTIES[[#This Row],[TE_STARTING_KN]]/(PROPERTIES[[#This Row],[WEIGHT]]*9.81),0)</f>
        <v>0</v>
      </c>
      <c r="U16" s="25">
        <v>0.2</v>
      </c>
      <c r="V16" s="22">
        <f>ROUND(IF(IFERROR(PROPERTIES[[#This Row],[TE_COEFFICIENT_CALC]],0)=0,PROPERTIES[[#This Row],[TE_COEFFICIENT_MANUAL]],PROPERTIES[[#This Row],[TE_COEFFICIENT_CALC]]),3)</f>
        <v>0.2</v>
      </c>
      <c r="W16" s="10" cm="1">
        <f t="array" ref="W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" s="32">
        <v>0</v>
      </c>
      <c r="Y16" s="8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8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9" t="b">
        <v>0</v>
      </c>
      <c r="AY16"/>
      <c r="AZ16"/>
      <c r="BA16"/>
    </row>
    <row r="17" spans="1:53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t="s">
        <v>1880</v>
      </c>
      <c r="F17" t="str">
        <f>_xlfn.XLOOKUP(PROPERTIES[[#This Row],[COUNTRY]],COUNTRIES[COUNTRY_DESCRIPTION],COUNTRIES[COUNTRY_LABEL],"")</f>
        <v>PT</v>
      </c>
      <c r="G17" t="str" cm="1">
        <f t="array" ref="G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" t="s">
        <v>17</v>
      </c>
      <c r="I17">
        <v>70</v>
      </c>
      <c r="J17">
        <v>8</v>
      </c>
      <c r="K17">
        <v>8</v>
      </c>
      <c r="L17" t="str" cm="1">
        <f t="array" ref="L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7">
        <f>_xlfn.XLOOKUP("LOADINGSPEEDDEF_"&amp;PROPERTIES[[#This Row],[LOADINGSPEED]],LOADINGSPEEDDEF[TYPE],LOADINGSPEEDDEF[SPEED])</f>
        <v>40</v>
      </c>
      <c r="N17" cm="1">
        <f t="array" ref="N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">
        <f>IF(ISNUMBER(SEARCH("passenger",PROPERTIES[[#This Row],[CARGODEF]])),1,0)</f>
        <v>1</v>
      </c>
      <c r="P17" s="29">
        <v>34</v>
      </c>
      <c r="Q17">
        <v>350</v>
      </c>
      <c r="R17">
        <v>100</v>
      </c>
      <c r="S17" s="26">
        <v>0</v>
      </c>
      <c r="T17" s="25">
        <f>IFERROR(PROPERTIES[[#This Row],[TE_STARTING_KN]]/(PROPERTIES[[#This Row],[WEIGHT]]*9.81),0)</f>
        <v>0</v>
      </c>
      <c r="U17" s="25">
        <v>0.12</v>
      </c>
      <c r="V17" s="22">
        <f>ROUND(IF(IFERROR(PROPERTIES[[#This Row],[TE_COEFFICIENT_CALC]],0)=0,PROPERTIES[[#This Row],[TE_COEFFICIENT_MANUAL]],PROPERTIES[[#This Row],[TE_COEFFICIENT_CALC]]),3)</f>
        <v>0.12</v>
      </c>
      <c r="W17" s="10" cm="1">
        <f t="array" ref="W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" s="32">
        <v>0</v>
      </c>
      <c r="Y17" s="8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8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9" t="b">
        <v>0</v>
      </c>
      <c r="AY17"/>
      <c r="AZ17"/>
      <c r="BA17"/>
    </row>
    <row r="18" spans="1:53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t="s">
        <v>1928</v>
      </c>
      <c r="F18" t="str">
        <f>_xlfn.XLOOKUP(PROPERTIES[[#This Row],[COUNTRY]],COUNTRIES[COUNTRY_DESCRIPTION],COUNTRIES[COUNTRY_LABEL],"")</f>
        <v>US</v>
      </c>
      <c r="G18" t="str" cm="1">
        <f t="array" ref="G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" t="s">
        <v>17</v>
      </c>
      <c r="I18">
        <v>90</v>
      </c>
      <c r="J18">
        <v>8</v>
      </c>
      <c r="K18">
        <v>8</v>
      </c>
      <c r="L18" t="str" cm="1">
        <f t="array" ref="L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8">
        <f>_xlfn.XLOOKUP("LOADINGSPEEDDEF_"&amp;PROPERTIES[[#This Row],[LOADINGSPEED]],LOADINGSPEEDDEF[TYPE],LOADINGSPEEDDEF[SPEED])</f>
        <v>40</v>
      </c>
      <c r="N18" cm="1">
        <f t="array" ref="N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">
        <f>IF(ISNUMBER(SEARCH("passenger",PROPERTIES[[#This Row],[CARGODEF]])),1,0)</f>
        <v>1</v>
      </c>
      <c r="P18" s="29">
        <v>49</v>
      </c>
      <c r="Q18">
        <v>550</v>
      </c>
      <c r="R18">
        <v>136</v>
      </c>
      <c r="S18" s="26">
        <v>0</v>
      </c>
      <c r="T18" s="25">
        <f>IFERROR(PROPERTIES[[#This Row],[TE_STARTING_KN]]/(PROPERTIES[[#This Row],[WEIGHT]]*9.81),0)</f>
        <v>0</v>
      </c>
      <c r="U18" s="25">
        <v>0.1</v>
      </c>
      <c r="V18" s="22">
        <f>ROUND(IF(IFERROR(PROPERTIES[[#This Row],[TE_COEFFICIENT_CALC]],0)=0,PROPERTIES[[#This Row],[TE_COEFFICIENT_MANUAL]],PROPERTIES[[#This Row],[TE_COEFFICIENT_CALC]]),3)</f>
        <v>0.1</v>
      </c>
      <c r="W18" s="10" cm="1">
        <f t="array" ref="W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" s="32">
        <v>0</v>
      </c>
      <c r="Y18" s="8">
        <v>0</v>
      </c>
      <c r="Z18" t="s">
        <v>881</v>
      </c>
      <c r="AA18" t="s">
        <v>883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8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9" t="b">
        <v>0</v>
      </c>
      <c r="AY18"/>
      <c r="AZ18"/>
      <c r="BA18"/>
    </row>
    <row r="19" spans="1:53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t="s">
        <v>1754</v>
      </c>
      <c r="F19" t="str">
        <f>_xlfn.XLOOKUP(PROPERTIES[[#This Row],[COUNTRY]],COUNTRIES[COUNTRY_DESCRIPTION],COUNTRIES[COUNTRY_LABEL],"")</f>
        <v>DE</v>
      </c>
      <c r="G19" t="str" cm="1">
        <f t="array" ref="G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" t="s">
        <v>17</v>
      </c>
      <c r="I19">
        <v>56</v>
      </c>
      <c r="J19">
        <v>6</v>
      </c>
      <c r="K19">
        <v>6</v>
      </c>
      <c r="L19" t="str" cm="1">
        <f t="array" ref="L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9">
        <f>_xlfn.XLOOKUP("LOADINGSPEEDDEF_"&amp;PROPERTIES[[#This Row],[LOADINGSPEED]],LOADINGSPEEDDEF[TYPE],LOADINGSPEEDDEF[SPEED])</f>
        <v>40</v>
      </c>
      <c r="N19" cm="1">
        <f t="array" ref="N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">
        <f>IF(ISNUMBER(SEARCH("passenger",PROPERTIES[[#This Row],[CARGODEF]])),1,0)</f>
        <v>1</v>
      </c>
      <c r="P19" s="29">
        <v>21</v>
      </c>
      <c r="Q19">
        <v>300</v>
      </c>
      <c r="R19">
        <v>90</v>
      </c>
      <c r="S19" s="26">
        <v>0</v>
      </c>
      <c r="T19" s="25">
        <f>IFERROR(PROPERTIES[[#This Row],[TE_STARTING_KN]]/(PROPERTIES[[#This Row],[WEIGHT]]*9.81),0)</f>
        <v>0</v>
      </c>
      <c r="U19" s="25">
        <v>0.2</v>
      </c>
      <c r="V19" s="22">
        <f>ROUND(IF(IFERROR(PROPERTIES[[#This Row],[TE_COEFFICIENT_CALC]],0)=0,PROPERTIES[[#This Row],[TE_COEFFICIENT_MANUAL]],PROPERTIES[[#This Row],[TE_COEFFICIENT_CALC]]),3)</f>
        <v>0.2</v>
      </c>
      <c r="W19" s="10" cm="1">
        <f t="array" ref="W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" s="32">
        <v>0</v>
      </c>
      <c r="Y19" s="8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8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9" t="b">
        <v>0</v>
      </c>
      <c r="AY19"/>
      <c r="AZ19"/>
      <c r="BA19"/>
    </row>
    <row r="20" spans="1:53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t="s">
        <v>1754</v>
      </c>
      <c r="F20" t="str">
        <f>_xlfn.XLOOKUP(PROPERTIES[[#This Row],[COUNTRY]],COUNTRIES[COUNTRY_DESCRIPTION],COUNTRIES[COUNTRY_LABEL],"")</f>
        <v>DE</v>
      </c>
      <c r="G20" t="str" cm="1">
        <f t="array" ref="G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" t="s">
        <v>17</v>
      </c>
      <c r="I20">
        <v>108</v>
      </c>
      <c r="J20">
        <v>8</v>
      </c>
      <c r="K20">
        <v>8</v>
      </c>
      <c r="L20" t="str" cm="1">
        <f t="array" ref="L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0">
        <f>_xlfn.XLOOKUP("LOADINGSPEEDDEF_"&amp;PROPERTIES[[#This Row],[LOADINGSPEED]],LOADINGSPEEDDEF[TYPE],LOADINGSPEEDDEF[SPEED])</f>
        <v>40</v>
      </c>
      <c r="N20" cm="1">
        <f t="array" ref="N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">
        <f>IF(ISNUMBER(SEARCH("passenger",PROPERTIES[[#This Row],[CARGODEF]])),1,0)</f>
        <v>1</v>
      </c>
      <c r="P20" s="29">
        <v>39</v>
      </c>
      <c r="Q20">
        <v>440</v>
      </c>
      <c r="R20">
        <v>70</v>
      </c>
      <c r="S20" s="26">
        <v>0</v>
      </c>
      <c r="T20" s="25">
        <f>IFERROR(PROPERTIES[[#This Row],[TE_STARTING_KN]]/(PROPERTIES[[#This Row],[WEIGHT]]*9.81),0)</f>
        <v>0</v>
      </c>
      <c r="U20" s="25">
        <v>0.25</v>
      </c>
      <c r="V20" s="22">
        <f>ROUND(IF(IFERROR(PROPERTIES[[#This Row],[TE_COEFFICIENT_CALC]],0)=0,PROPERTIES[[#This Row],[TE_COEFFICIENT_MANUAL]],PROPERTIES[[#This Row],[TE_COEFFICIENT_CALC]]),3)</f>
        <v>0.25</v>
      </c>
      <c r="W20" s="10" cm="1">
        <f t="array" ref="W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" s="32">
        <v>0</v>
      </c>
      <c r="Y20" s="8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8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9" t="b">
        <v>0</v>
      </c>
      <c r="AY20"/>
      <c r="AZ20"/>
      <c r="BA20"/>
    </row>
    <row r="21" spans="1:53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t="s">
        <v>1862</v>
      </c>
      <c r="F21" t="str">
        <f>_xlfn.XLOOKUP(PROPERTIES[[#This Row],[COUNTRY]],COUNTRIES[COUNTRY_DESCRIPTION],COUNTRIES[COUNTRY_LABEL],"")</f>
        <v>NL</v>
      </c>
      <c r="G21" t="str" cm="1">
        <f t="array" ref="G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" t="s">
        <v>17</v>
      </c>
      <c r="I21">
        <v>28</v>
      </c>
      <c r="J21">
        <v>8</v>
      </c>
      <c r="K21">
        <v>8</v>
      </c>
      <c r="L21" t="str" cm="1">
        <f t="array" ref="L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1">
        <f>_xlfn.XLOOKUP("LOADINGSPEEDDEF_"&amp;PROPERTIES[[#This Row],[LOADINGSPEED]],LOADINGSPEEDDEF[TYPE],LOADINGSPEEDDEF[SPEED])</f>
        <v>40</v>
      </c>
      <c r="N21" cm="1">
        <f t="array" ref="N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">
        <f>IF(ISNUMBER(SEARCH("passenger",PROPERTIES[[#This Row],[CARGODEF]])),1,0)</f>
        <v>1</v>
      </c>
      <c r="P21" s="29">
        <v>58</v>
      </c>
      <c r="Q21">
        <v>285</v>
      </c>
      <c r="R21">
        <v>125</v>
      </c>
      <c r="S21" s="26">
        <v>0</v>
      </c>
      <c r="T21" s="25">
        <f>IFERROR(PROPERTIES[[#This Row],[TE_STARTING_KN]]/(PROPERTIES[[#This Row],[WEIGHT]]*9.81),0)</f>
        <v>0</v>
      </c>
      <c r="U21" s="25">
        <v>0.12</v>
      </c>
      <c r="V21" s="22">
        <f>ROUND(IF(IFERROR(PROPERTIES[[#This Row],[TE_COEFFICIENT_CALC]],0)=0,PROPERTIES[[#This Row],[TE_COEFFICIENT_MANUAL]],PROPERTIES[[#This Row],[TE_COEFFICIENT_CALC]]),3)</f>
        <v>0.12</v>
      </c>
      <c r="W21" s="10" cm="1">
        <f t="array" ref="W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" s="32">
        <v>0</v>
      </c>
      <c r="Y21" s="8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8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9" t="b">
        <v>0</v>
      </c>
      <c r="AY21"/>
      <c r="AZ21"/>
      <c r="BA21"/>
    </row>
    <row r="22" spans="1:53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t="s">
        <v>1862</v>
      </c>
      <c r="F22" t="str">
        <f>_xlfn.XLOOKUP(PROPERTIES[[#This Row],[COUNTRY]],COUNTRIES[COUNTRY_DESCRIPTION],COUNTRIES[COUNTRY_LABEL],"")</f>
        <v>NL</v>
      </c>
      <c r="G22" t="str" cm="1">
        <f t="array" ref="G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" t="s">
        <v>17</v>
      </c>
      <c r="I22">
        <v>56</v>
      </c>
      <c r="J22">
        <v>8</v>
      </c>
      <c r="K22">
        <v>8</v>
      </c>
      <c r="L22" t="str" cm="1">
        <f t="array" ref="L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2">
        <f>_xlfn.XLOOKUP("LOADINGSPEEDDEF_"&amp;PROPERTIES[[#This Row],[LOADINGSPEED]],LOADINGSPEEDDEF[TYPE],LOADINGSPEEDDEF[SPEED])</f>
        <v>40</v>
      </c>
      <c r="N22" cm="1">
        <f t="array" ref="N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2">
        <f>IF(ISNUMBER(SEARCH("passenger",PROPERTIES[[#This Row],[CARGODEF]])),1,0)</f>
        <v>1</v>
      </c>
      <c r="P22" s="29">
        <v>37</v>
      </c>
      <c r="Q22">
        <v>285</v>
      </c>
      <c r="R22">
        <v>100</v>
      </c>
      <c r="S22" s="26">
        <v>0</v>
      </c>
      <c r="T22" s="25">
        <f>IFERROR(PROPERTIES[[#This Row],[TE_STARTING_KN]]/(PROPERTIES[[#This Row],[WEIGHT]]*9.81),0)</f>
        <v>0</v>
      </c>
      <c r="U22" s="25">
        <v>0.23</v>
      </c>
      <c r="V22" s="22">
        <f>ROUND(IF(IFERROR(PROPERTIES[[#This Row],[TE_COEFFICIENT_CALC]],0)=0,PROPERTIES[[#This Row],[TE_COEFFICIENT_MANUAL]],PROPERTIES[[#This Row],[TE_COEFFICIENT_CALC]]),3)</f>
        <v>0.23</v>
      </c>
      <c r="W22" s="10" cm="1">
        <f t="array" ref="W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" s="32">
        <v>0</v>
      </c>
      <c r="Y22" s="8">
        <v>0</v>
      </c>
      <c r="Z22" t="s">
        <v>878</v>
      </c>
      <c r="AA22" t="s">
        <v>876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8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9" t="b">
        <v>0</v>
      </c>
      <c r="AY22"/>
      <c r="AZ22"/>
      <c r="BA22"/>
    </row>
    <row r="23" spans="1:53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t="s">
        <v>1709</v>
      </c>
      <c r="F23" t="str">
        <f>_xlfn.XLOOKUP(PROPERTIES[[#This Row],[COUNTRY]],COUNTRIES[COUNTRY_DESCRIPTION],COUNTRIES[COUNTRY_LABEL],"")</f>
        <v>AT</v>
      </c>
      <c r="G23" t="str" cm="1">
        <f t="array" ref="G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" t="s">
        <v>17</v>
      </c>
      <c r="I23">
        <v>62</v>
      </c>
      <c r="J23">
        <v>8</v>
      </c>
      <c r="K23">
        <v>8</v>
      </c>
      <c r="L23" t="str" cm="1">
        <f t="array" ref="L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3">
        <f>_xlfn.XLOOKUP("LOADINGSPEEDDEF_"&amp;PROPERTIES[[#This Row],[LOADINGSPEED]],LOADINGSPEEDDEF[TYPE],LOADINGSPEEDDEF[SPEED])</f>
        <v>40</v>
      </c>
      <c r="N23" t="str" cm="1">
        <f t="array" ref="N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">
        <f>IF(ISNUMBER(SEARCH("passenger",PROPERTIES[[#This Row],[CARGODEF]])),1,0)</f>
        <v>1</v>
      </c>
      <c r="P23" s="29">
        <v>44</v>
      </c>
      <c r="Q23">
        <v>562</v>
      </c>
      <c r="R23">
        <v>120</v>
      </c>
      <c r="S23" s="26">
        <v>0</v>
      </c>
      <c r="T23" s="25">
        <f>IFERROR(PROPERTIES[[#This Row],[TE_STARTING_KN]]/(PROPERTIES[[#This Row],[WEIGHT]]*9.81),0)</f>
        <v>0</v>
      </c>
      <c r="U23" s="25">
        <v>0.11</v>
      </c>
      <c r="V23" s="22">
        <f>ROUND(IF(IFERROR(PROPERTIES[[#This Row],[TE_COEFFICIENT_CALC]],0)=0,PROPERTIES[[#This Row],[TE_COEFFICIENT_MANUAL]],PROPERTIES[[#This Row],[TE_COEFFICIENT_CALC]]),3)</f>
        <v>0.11</v>
      </c>
      <c r="W23" s="10" cm="1">
        <f t="array" ref="W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" s="32">
        <v>0</v>
      </c>
      <c r="Y23" s="8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8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9" t="b">
        <v>0</v>
      </c>
      <c r="AY23"/>
      <c r="AZ23"/>
      <c r="BA23"/>
    </row>
    <row r="24" spans="1:53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t="s">
        <v>1773</v>
      </c>
      <c r="F24" t="str">
        <f>_xlfn.XLOOKUP(PROPERTIES[[#This Row],[COUNTRY]],COUNTRIES[COUNTRY_DESCRIPTION],COUNTRIES[COUNTRY_LABEL],"")</f>
        <v>GB</v>
      </c>
      <c r="G24" t="str" cm="1">
        <f t="array" ref="G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" t="s">
        <v>17</v>
      </c>
      <c r="I24">
        <v>75</v>
      </c>
      <c r="J24">
        <v>8</v>
      </c>
      <c r="K24">
        <v>8</v>
      </c>
      <c r="L24" t="str" cm="1">
        <f t="array" ref="L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4">
        <f>_xlfn.XLOOKUP("LOADINGSPEEDDEF_"&amp;PROPERTIES[[#This Row],[LOADINGSPEED]],LOADINGSPEEDDEF[TYPE],LOADINGSPEEDDEF[SPEED])</f>
        <v>40</v>
      </c>
      <c r="N24" t="str" cm="1">
        <f t="array" ref="N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">
        <f>IF(ISNUMBER(SEARCH("passenger",PROPERTIES[[#This Row],[CARGODEF]])),1,0)</f>
        <v>1</v>
      </c>
      <c r="P24" s="29">
        <v>42</v>
      </c>
      <c r="Q24">
        <v>285</v>
      </c>
      <c r="R24">
        <v>120</v>
      </c>
      <c r="S24" s="26">
        <v>0</v>
      </c>
      <c r="T24" s="25">
        <f>IFERROR(PROPERTIES[[#This Row],[TE_STARTING_KN]]/(PROPERTIES[[#This Row],[WEIGHT]]*9.81),0)</f>
        <v>0</v>
      </c>
      <c r="U24" s="25">
        <v>0.1</v>
      </c>
      <c r="V24" s="22">
        <f>ROUND(IF(IFERROR(PROPERTIES[[#This Row],[TE_COEFFICIENT_CALC]],0)=0,PROPERTIES[[#This Row],[TE_COEFFICIENT_MANUAL]],PROPERTIES[[#This Row],[TE_COEFFICIENT_CALC]]),3)</f>
        <v>0.1</v>
      </c>
      <c r="W24" s="10" cm="1">
        <f t="array" ref="W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" s="32">
        <v>0</v>
      </c>
      <c r="Y24" s="8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8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9" t="b">
        <v>0</v>
      </c>
      <c r="AY24"/>
      <c r="AZ24"/>
      <c r="BA24"/>
    </row>
    <row r="25" spans="1:53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t="s">
        <v>1753</v>
      </c>
      <c r="F25" t="str">
        <f>_xlfn.XLOOKUP(PROPERTIES[[#This Row],[COUNTRY]],COUNTRIES[COUNTRY_DESCRIPTION],COUNTRIES[COUNTRY_LABEL],"")</f>
        <v>CZ</v>
      </c>
      <c r="G25" t="str" cm="1">
        <f t="array" ref="G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" t="s">
        <v>17</v>
      </c>
      <c r="I25">
        <v>95</v>
      </c>
      <c r="J25">
        <v>7</v>
      </c>
      <c r="K25">
        <v>7</v>
      </c>
      <c r="L25" t="str" cm="1">
        <f t="array" ref="L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5">
        <f>_xlfn.XLOOKUP("LOADINGSPEEDDEF_"&amp;PROPERTIES[[#This Row],[LOADINGSPEED]],LOADINGSPEEDDEF[TYPE],LOADINGSPEEDDEF[SPEED])</f>
        <v>40</v>
      </c>
      <c r="N25" t="str" cm="1">
        <f t="array" ref="N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">
        <f>IF(ISNUMBER(SEARCH("passenger",PROPERTIES[[#This Row],[CARGODEF]])),1,0)</f>
        <v>1</v>
      </c>
      <c r="P25" s="29">
        <v>20</v>
      </c>
      <c r="Q25">
        <v>210</v>
      </c>
      <c r="R25">
        <v>80</v>
      </c>
      <c r="S25" s="26">
        <v>0</v>
      </c>
      <c r="T25" s="25">
        <f>IFERROR(PROPERTIES[[#This Row],[TE_STARTING_KN]]/(PROPERTIES[[#This Row],[WEIGHT]]*9.81),0)</f>
        <v>0</v>
      </c>
      <c r="U25" s="25">
        <v>0.15</v>
      </c>
      <c r="V25" s="22">
        <f>ROUND(IF(IFERROR(PROPERTIES[[#This Row],[TE_COEFFICIENT_CALC]],0)=0,PROPERTIES[[#This Row],[TE_COEFFICIENT_MANUAL]],PROPERTIES[[#This Row],[TE_COEFFICIENT_CALC]]),3)</f>
        <v>0.15</v>
      </c>
      <c r="W25" s="10" cm="1">
        <f t="array" ref="W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" s="32">
        <v>0</v>
      </c>
      <c r="Y25" s="8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8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9" t="b">
        <v>0</v>
      </c>
      <c r="AY25"/>
      <c r="AZ25"/>
      <c r="BA25"/>
    </row>
    <row r="26" spans="1:53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t="s">
        <v>1754</v>
      </c>
      <c r="F26" t="str">
        <f>_xlfn.XLOOKUP(PROPERTIES[[#This Row],[COUNTRY]],COUNTRIES[COUNTRY_DESCRIPTION],COUNTRIES[COUNTRY_LABEL],"")</f>
        <v>DE</v>
      </c>
      <c r="G26" t="str" cm="1">
        <f t="array" ref="G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" t="s">
        <v>17</v>
      </c>
      <c r="I26">
        <v>110</v>
      </c>
      <c r="J26">
        <v>7</v>
      </c>
      <c r="K26">
        <v>7</v>
      </c>
      <c r="L26" t="str" cm="1">
        <f t="array" ref="L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6">
        <f>_xlfn.XLOOKUP("LOADINGSPEEDDEF_"&amp;PROPERTIES[[#This Row],[LOADINGSPEED]],LOADINGSPEEDDEF[TYPE],LOADINGSPEEDDEF[SPEED])</f>
        <v>40</v>
      </c>
      <c r="N26" t="str" cm="1">
        <f t="array" ref="N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">
        <f>IF(ISNUMBER(SEARCH("passenger",PROPERTIES[[#This Row],[CARGODEF]])),1,0)</f>
        <v>1</v>
      </c>
      <c r="P26" s="29">
        <v>34</v>
      </c>
      <c r="Q26">
        <v>335</v>
      </c>
      <c r="R26">
        <v>100</v>
      </c>
      <c r="S26" s="26">
        <v>0</v>
      </c>
      <c r="T26" s="25">
        <f>IFERROR(PROPERTIES[[#This Row],[TE_STARTING_KN]]/(PROPERTIES[[#This Row],[WEIGHT]]*9.81),0)</f>
        <v>0</v>
      </c>
      <c r="U26" s="25">
        <v>0.21</v>
      </c>
      <c r="V26" s="22">
        <f>ROUND(IF(IFERROR(PROPERTIES[[#This Row],[TE_COEFFICIENT_CALC]],0)=0,PROPERTIES[[#This Row],[TE_COEFFICIENT_MANUAL]],PROPERTIES[[#This Row],[TE_COEFFICIENT_CALC]]),3)</f>
        <v>0.21</v>
      </c>
      <c r="W26" s="10" cm="1">
        <f t="array" ref="W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" s="32">
        <v>0</v>
      </c>
      <c r="Y26" s="8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8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9" t="b">
        <v>0</v>
      </c>
      <c r="AY26"/>
      <c r="AZ26"/>
      <c r="BA26"/>
    </row>
    <row r="27" spans="1:53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t="s">
        <v>1829</v>
      </c>
      <c r="F27" t="str">
        <f>_xlfn.XLOOKUP(PROPERTIES[[#This Row],[COUNTRY]],COUNTRIES[COUNTRY_DESCRIPTION],COUNTRIES[COUNTRY_LABEL],"")</f>
        <v>LT</v>
      </c>
      <c r="G27" t="str" cm="1">
        <f t="array" ref="G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" t="s">
        <v>17</v>
      </c>
      <c r="I27">
        <v>76</v>
      </c>
      <c r="J27">
        <v>8</v>
      </c>
      <c r="K27">
        <v>8</v>
      </c>
      <c r="L27" t="str" cm="1">
        <f t="array" ref="L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7">
        <f>_xlfn.XLOOKUP("LOADINGSPEEDDEF_"&amp;PROPERTIES[[#This Row],[LOADINGSPEED]],LOADINGSPEEDDEF[TYPE],LOADINGSPEEDDEF[SPEED])</f>
        <v>40</v>
      </c>
      <c r="N27" t="str" cm="1">
        <f t="array" ref="N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">
        <f>IF(ISNUMBER(SEARCH("passenger",PROPERTIES[[#This Row],[CARGODEF]])),1,0)</f>
        <v>1</v>
      </c>
      <c r="P27" s="29">
        <v>32</v>
      </c>
      <c r="Q27">
        <v>400</v>
      </c>
      <c r="R27">
        <v>120</v>
      </c>
      <c r="S27" s="26">
        <v>0</v>
      </c>
      <c r="T27" s="25">
        <f>IFERROR(PROPERTIES[[#This Row],[TE_STARTING_KN]]/(PROPERTIES[[#This Row],[WEIGHT]]*9.81),0)</f>
        <v>0</v>
      </c>
      <c r="U27" s="25">
        <v>0.12</v>
      </c>
      <c r="V27" s="22">
        <f>ROUND(IF(IFERROR(PROPERTIES[[#This Row],[TE_COEFFICIENT_CALC]],0)=0,PROPERTIES[[#This Row],[TE_COEFFICIENT_MANUAL]],PROPERTIES[[#This Row],[TE_COEFFICIENT_CALC]]),3)</f>
        <v>0.12</v>
      </c>
      <c r="W27" s="10" cm="1">
        <f t="array" ref="W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" s="32">
        <v>0</v>
      </c>
      <c r="Y27" s="8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8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9" t="b">
        <v>0</v>
      </c>
      <c r="AY27"/>
      <c r="AZ27"/>
      <c r="BA27"/>
    </row>
    <row r="28" spans="1:53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t="s">
        <v>1709</v>
      </c>
      <c r="F28" t="str">
        <f>_xlfn.XLOOKUP(PROPERTIES[[#This Row],[COUNTRY]],COUNTRIES[COUNTRY_DESCRIPTION],COUNTRIES[COUNTRY_LABEL],"")</f>
        <v>AT</v>
      </c>
      <c r="G28" t="str" cm="1">
        <f t="array" ref="G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" t="s">
        <v>17</v>
      </c>
      <c r="I28">
        <v>16</v>
      </c>
      <c r="J28">
        <v>4</v>
      </c>
      <c r="K28">
        <v>4</v>
      </c>
      <c r="L28" t="str" cm="1">
        <f t="array" ref="L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8">
        <f>_xlfn.XLOOKUP("LOADINGSPEEDDEF_"&amp;PROPERTIES[[#This Row],[LOADINGSPEED]],LOADINGSPEEDDEF[TYPE],LOADINGSPEEDDEF[SPEED])</f>
        <v>40</v>
      </c>
      <c r="N28" cm="1">
        <f t="array" ref="N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">
        <f>IF(ISNUMBER(SEARCH("passenger",PROPERTIES[[#This Row],[CARGODEF]])),1,0)</f>
        <v>1</v>
      </c>
      <c r="P28" s="29">
        <v>13</v>
      </c>
      <c r="Q28">
        <v>55</v>
      </c>
      <c r="R28">
        <v>35</v>
      </c>
      <c r="S28" s="26">
        <v>0</v>
      </c>
      <c r="T28" s="25">
        <f>IFERROR(PROPERTIES[[#This Row],[TE_STARTING_KN]]/(PROPERTIES[[#This Row],[WEIGHT]]*9.81),0)</f>
        <v>0</v>
      </c>
      <c r="U28" s="25">
        <v>0.34</v>
      </c>
      <c r="V28" s="22">
        <f>ROUND(IF(IFERROR(PROPERTIES[[#This Row],[TE_COEFFICIENT_CALC]],0)=0,PROPERTIES[[#This Row],[TE_COEFFICIENT_MANUAL]],PROPERTIES[[#This Row],[TE_COEFFICIENT_CALC]]),3)</f>
        <v>0.34</v>
      </c>
      <c r="W28" s="10" cm="1">
        <f t="array" ref="W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" s="32">
        <v>0</v>
      </c>
      <c r="Y28" s="8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8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9" t="b">
        <v>0</v>
      </c>
      <c r="AY28"/>
      <c r="AZ28"/>
      <c r="BA28"/>
    </row>
    <row r="29" spans="1:53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t="s">
        <v>1928</v>
      </c>
      <c r="F29" t="str">
        <f>_xlfn.XLOOKUP(PROPERTIES[[#This Row],[COUNTRY]],COUNTRIES[COUNTRY_DESCRIPTION],COUNTRIES[COUNTRY_LABEL],"")</f>
        <v>US</v>
      </c>
      <c r="G29" t="str" cm="1">
        <f t="array" ref="G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" t="s">
        <v>17</v>
      </c>
      <c r="I29">
        <v>84</v>
      </c>
      <c r="J29">
        <v>8</v>
      </c>
      <c r="K29">
        <v>8</v>
      </c>
      <c r="L29" t="str" cm="1">
        <f t="array" ref="L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9">
        <f>_xlfn.XLOOKUP("LOADINGSPEEDDEF_"&amp;PROPERTIES[[#This Row],[LOADINGSPEED]],LOADINGSPEEDDEF[TYPE],LOADINGSPEEDDEF[SPEED])</f>
        <v>40</v>
      </c>
      <c r="N29" cm="1">
        <f t="array" ref="N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">
        <f>IF(ISNUMBER(SEARCH("passenger",PROPERTIES[[#This Row],[CARGODEF]])),1,0)</f>
        <v>1</v>
      </c>
      <c r="P29" s="29">
        <v>30</v>
      </c>
      <c r="Q29">
        <v>200</v>
      </c>
      <c r="R29">
        <v>52</v>
      </c>
      <c r="S29" s="26">
        <v>0</v>
      </c>
      <c r="T29" s="25">
        <f>IFERROR(PROPERTIES[[#This Row],[TE_STARTING_KN]]/(PROPERTIES[[#This Row],[WEIGHT]]*9.81),0)</f>
        <v>0</v>
      </c>
      <c r="U29" s="25">
        <v>0.34</v>
      </c>
      <c r="V29" s="22">
        <f>ROUND(IF(IFERROR(PROPERTIES[[#This Row],[TE_COEFFICIENT_CALC]],0)=0,PROPERTIES[[#This Row],[TE_COEFFICIENT_MANUAL]],PROPERTIES[[#This Row],[TE_COEFFICIENT_CALC]]),3)</f>
        <v>0.34</v>
      </c>
      <c r="W29" s="10" cm="1">
        <f t="array" ref="W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9" s="32">
        <v>0</v>
      </c>
      <c r="Y29" s="8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8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9" t="b">
        <v>0</v>
      </c>
      <c r="AY29"/>
      <c r="AZ29"/>
      <c r="BA29"/>
    </row>
    <row r="30" spans="1:53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t="s">
        <v>1754</v>
      </c>
      <c r="F30" t="str">
        <f>_xlfn.XLOOKUP(PROPERTIES[[#This Row],[COUNTRY]],COUNTRIES[COUNTRY_DESCRIPTION],COUNTRIES[COUNTRY_LABEL],"")</f>
        <v>DE</v>
      </c>
      <c r="G30" t="str" cm="1">
        <f t="array" ref="G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" t="s">
        <v>17</v>
      </c>
      <c r="I30">
        <v>79</v>
      </c>
      <c r="J30">
        <v>8</v>
      </c>
      <c r="K30">
        <v>10</v>
      </c>
      <c r="L30" t="str" cm="1">
        <f t="array" ref="L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0">
        <f>_xlfn.XLOOKUP("LOADINGSPEEDDEF_"&amp;PROPERTIES[[#This Row],[LOADINGSPEED]],LOADINGSPEEDDEF[TYPE],LOADINGSPEEDDEF[SPEED])</f>
        <v>40</v>
      </c>
      <c r="N30" cm="1">
        <f t="array" ref="N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">
        <f>IF(ISNUMBER(SEARCH("passenger",PROPERTIES[[#This Row],[CARGODEF]])),1,0)</f>
        <v>1</v>
      </c>
      <c r="P30" s="29">
        <v>64</v>
      </c>
      <c r="Q30">
        <v>200</v>
      </c>
      <c r="R30">
        <v>70</v>
      </c>
      <c r="S30" s="26">
        <v>0</v>
      </c>
      <c r="T30" s="25">
        <f>IFERROR(PROPERTIES[[#This Row],[TE_STARTING_KN]]/(PROPERTIES[[#This Row],[WEIGHT]]*9.81),0)</f>
        <v>0</v>
      </c>
      <c r="U30" s="25">
        <v>0.34</v>
      </c>
      <c r="V30" s="22">
        <f>ROUND(IF(IFERROR(PROPERTIES[[#This Row],[TE_COEFFICIENT_CALC]],0)=0,PROPERTIES[[#This Row],[TE_COEFFICIENT_MANUAL]],PROPERTIES[[#This Row],[TE_COEFFICIENT_CALC]]),3)</f>
        <v>0.34</v>
      </c>
      <c r="W30" s="10" cm="1">
        <f t="array" ref="W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0" s="32">
        <v>0</v>
      </c>
      <c r="Y30" s="8">
        <v>2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8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9" t="b">
        <v>0</v>
      </c>
      <c r="AY30"/>
      <c r="AZ30"/>
      <c r="BA30"/>
    </row>
    <row r="31" spans="1:53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t="s">
        <v>1773</v>
      </c>
      <c r="F31" t="str">
        <f>_xlfn.XLOOKUP(PROPERTIES[[#This Row],[COUNTRY]],COUNTRIES[COUNTRY_DESCRIPTION],COUNTRIES[COUNTRY_LABEL],"")</f>
        <v>GB</v>
      </c>
      <c r="G31" t="str" cm="1">
        <f t="array" ref="G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1" t="s">
        <v>17</v>
      </c>
      <c r="I31">
        <v>42</v>
      </c>
      <c r="J31">
        <v>4</v>
      </c>
      <c r="K31">
        <v>4</v>
      </c>
      <c r="L31" t="str" cm="1">
        <f t="array" ref="L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1">
        <f>_xlfn.XLOOKUP("LOADINGSPEEDDEF_"&amp;PROPERTIES[[#This Row],[LOADINGSPEED]],LOADINGSPEEDDEF[TYPE],LOADINGSPEEDDEF[SPEED])</f>
        <v>40</v>
      </c>
      <c r="N31" cm="1">
        <f t="array" ref="N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">
        <f>IF(ISNUMBER(SEARCH("passenger",PROPERTIES[[#This Row],[CARGODEF]])),1,0)</f>
        <v>1</v>
      </c>
      <c r="P31" s="29">
        <v>10</v>
      </c>
      <c r="Q31">
        <v>35</v>
      </c>
      <c r="R31">
        <v>40</v>
      </c>
      <c r="S31" s="26">
        <v>0</v>
      </c>
      <c r="T31" s="25">
        <f>IFERROR(PROPERTIES[[#This Row],[TE_STARTING_KN]]/(PROPERTIES[[#This Row],[WEIGHT]]*9.81),0)</f>
        <v>0</v>
      </c>
      <c r="U31" s="25">
        <v>0.21</v>
      </c>
      <c r="V31" s="22">
        <f>ROUND(IF(IFERROR(PROPERTIES[[#This Row],[TE_COEFFICIENT_CALC]],0)=0,PROPERTIES[[#This Row],[TE_COEFFICIENT_MANUAL]],PROPERTIES[[#This Row],[TE_COEFFICIENT_CALC]]),3)</f>
        <v>0.21</v>
      </c>
      <c r="W31" s="10" cm="1">
        <f t="array" ref="W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1" s="32">
        <v>0</v>
      </c>
      <c r="Y31" s="8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8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9" t="b">
        <v>0</v>
      </c>
      <c r="AY31"/>
      <c r="AZ31"/>
      <c r="BA31"/>
    </row>
    <row r="32" spans="1:53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t="s">
        <v>1754</v>
      </c>
      <c r="F32" t="str">
        <f>_xlfn.XLOOKUP(PROPERTIES[[#This Row],[COUNTRY]],COUNTRIES[COUNTRY_DESCRIPTION],COUNTRIES[COUNTRY_LABEL],"")</f>
        <v>DE</v>
      </c>
      <c r="G32" t="str" cm="1">
        <f t="array" ref="G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2" t="s">
        <v>17</v>
      </c>
      <c r="I32">
        <v>38</v>
      </c>
      <c r="J32">
        <v>5</v>
      </c>
      <c r="K32">
        <v>5</v>
      </c>
      <c r="L32" t="str" cm="1">
        <f t="array" ref="L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2">
        <f>_xlfn.XLOOKUP("LOADINGSPEEDDEF_"&amp;PROPERTIES[[#This Row],[LOADINGSPEED]],LOADINGSPEEDDEF[TYPE],LOADINGSPEEDDEF[SPEED])</f>
        <v>40</v>
      </c>
      <c r="N32" cm="1">
        <f t="array" ref="N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2">
        <f>IF(ISNUMBER(SEARCH("passenger",PROPERTIES[[#This Row],[CARGODEF]])),1,0)</f>
        <v>1</v>
      </c>
      <c r="P32" s="29">
        <v>11</v>
      </c>
      <c r="Q32">
        <v>75</v>
      </c>
      <c r="R32">
        <v>40</v>
      </c>
      <c r="S32" s="26">
        <v>0</v>
      </c>
      <c r="T32" s="25">
        <f>IFERROR(PROPERTIES[[#This Row],[TE_STARTING_KN]]/(PROPERTIES[[#This Row],[WEIGHT]]*9.81),0)</f>
        <v>0</v>
      </c>
      <c r="U32" s="25">
        <v>0.34</v>
      </c>
      <c r="V32" s="22">
        <f>ROUND(IF(IFERROR(PROPERTIES[[#This Row],[TE_COEFFICIENT_CALC]],0)=0,PROPERTIES[[#This Row],[TE_COEFFICIENT_MANUAL]],PROPERTIES[[#This Row],[TE_COEFFICIENT_CALC]]),3)</f>
        <v>0.34</v>
      </c>
      <c r="W32" s="10" cm="1">
        <f t="array" ref="W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32" s="32">
        <v>0</v>
      </c>
      <c r="Y32" s="8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8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9" t="b">
        <v>0</v>
      </c>
      <c r="AY32"/>
      <c r="AZ32"/>
      <c r="BA32"/>
    </row>
    <row r="33" spans="1:53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t="s">
        <v>1710</v>
      </c>
      <c r="F33" t="str">
        <f>_xlfn.XLOOKUP(PROPERTIES[[#This Row],[COUNTRY]],COUNTRIES[COUNTRY_DESCRIPTION],COUNTRIES[COUNTRY_LABEL],"")</f>
        <v>AU</v>
      </c>
      <c r="G33" t="str" cm="1">
        <f t="array" ref="G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3" t="s">
        <v>17</v>
      </c>
      <c r="I33">
        <v>40</v>
      </c>
      <c r="J33">
        <v>7</v>
      </c>
      <c r="K33">
        <v>7</v>
      </c>
      <c r="L33" t="str" cm="1">
        <f t="array" ref="L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3">
        <f>_xlfn.XLOOKUP("LOADINGSPEEDDEF_"&amp;PROPERTIES[[#This Row],[LOADINGSPEED]],LOADINGSPEEDDEF[TYPE],LOADINGSPEEDDEF[SPEED])</f>
        <v>40</v>
      </c>
      <c r="N33" cm="1">
        <f t="array" ref="N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">
        <f>IF(ISNUMBER(SEARCH("passenger",PROPERTIES[[#This Row],[CARGODEF]])),1,0)</f>
        <v>1</v>
      </c>
      <c r="P33" s="29">
        <v>43</v>
      </c>
      <c r="Q33">
        <v>255</v>
      </c>
      <c r="R33">
        <v>100</v>
      </c>
      <c r="S33" s="26">
        <v>0</v>
      </c>
      <c r="T33" s="25">
        <f>IFERROR(PROPERTIES[[#This Row],[TE_STARTING_KN]]/(PROPERTIES[[#This Row],[WEIGHT]]*9.81),0)</f>
        <v>0</v>
      </c>
      <c r="U33" s="25">
        <v>0.34</v>
      </c>
      <c r="V33" s="22">
        <f>ROUND(IF(IFERROR(PROPERTIES[[#This Row],[TE_COEFFICIENT_CALC]],0)=0,PROPERTIES[[#This Row],[TE_COEFFICIENT_MANUAL]],PROPERTIES[[#This Row],[TE_COEFFICIENT_CALC]]),3)</f>
        <v>0.34</v>
      </c>
      <c r="W33" s="10" cm="1">
        <f t="array" ref="W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33" s="32">
        <v>0</v>
      </c>
      <c r="Y33" s="8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8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9" t="b">
        <v>0</v>
      </c>
      <c r="AY33"/>
      <c r="AZ33"/>
      <c r="BA33"/>
    </row>
    <row r="34" spans="1:53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t="s">
        <v>1753</v>
      </c>
      <c r="F34" t="str">
        <f>_xlfn.XLOOKUP(PROPERTIES[[#This Row],[COUNTRY]],COUNTRIES[COUNTRY_DESCRIPTION],COUNTRIES[COUNTRY_LABEL],"")</f>
        <v>CZ</v>
      </c>
      <c r="G34" t="str" cm="1">
        <f t="array" ref="G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4" t="s">
        <v>17</v>
      </c>
      <c r="I34">
        <v>38</v>
      </c>
      <c r="J34">
        <v>5</v>
      </c>
      <c r="K34">
        <v>5</v>
      </c>
      <c r="L34" t="str" cm="1">
        <f t="array" ref="L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4">
        <f>_xlfn.XLOOKUP("LOADINGSPEEDDEF_"&amp;PROPERTIES[[#This Row],[LOADINGSPEED]],LOADINGSPEEDDEF[TYPE],LOADINGSPEEDDEF[SPEED])</f>
        <v>40</v>
      </c>
      <c r="N34" cm="1">
        <f t="array" ref="N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">
        <f>IF(ISNUMBER(SEARCH("passenger",PROPERTIES[[#This Row],[CARGODEF]])),1,0)</f>
        <v>1</v>
      </c>
      <c r="P34" s="29">
        <v>13</v>
      </c>
      <c r="Q34">
        <v>120</v>
      </c>
      <c r="R34">
        <v>60</v>
      </c>
      <c r="S34" s="26">
        <v>0</v>
      </c>
      <c r="T34" s="25">
        <f>IFERROR(PROPERTIES[[#This Row],[TE_STARTING_KN]]/(PROPERTIES[[#This Row],[WEIGHT]]*9.81),0)</f>
        <v>0</v>
      </c>
      <c r="U34" s="25">
        <v>0.15</v>
      </c>
      <c r="V34" s="22">
        <f>ROUND(IF(IFERROR(PROPERTIES[[#This Row],[TE_COEFFICIENT_CALC]],0)=0,PROPERTIES[[#This Row],[TE_COEFFICIENT_MANUAL]],PROPERTIES[[#This Row],[TE_COEFFICIENT_CALC]]),3)</f>
        <v>0.15</v>
      </c>
      <c r="W34" s="10" cm="1">
        <f t="array" ref="W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4" s="32">
        <v>0</v>
      </c>
      <c r="Y34" s="8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8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9" t="b">
        <v>0</v>
      </c>
      <c r="AY34"/>
      <c r="AZ34"/>
      <c r="BA34"/>
    </row>
    <row r="35" spans="1:53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t="s">
        <v>1754</v>
      </c>
      <c r="F35" t="str">
        <f>_xlfn.XLOOKUP(PROPERTIES[[#This Row],[COUNTRY]],COUNTRIES[COUNTRY_DESCRIPTION],COUNTRIES[COUNTRY_LABEL],"")</f>
        <v>DE</v>
      </c>
      <c r="G35" t="str" cm="1">
        <f t="array" ref="G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5" t="s">
        <v>17</v>
      </c>
      <c r="I35">
        <v>40</v>
      </c>
      <c r="J35">
        <v>8</v>
      </c>
      <c r="K35">
        <v>8</v>
      </c>
      <c r="L35" t="str" cm="1">
        <f t="array" ref="L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35">
        <f>_xlfn.XLOOKUP("LOADINGSPEEDDEF_"&amp;PROPERTIES[[#This Row],[LOADINGSPEED]],LOADINGSPEEDDEF[TYPE],LOADINGSPEEDDEF[SPEED])</f>
        <v>16</v>
      </c>
      <c r="N35" cm="1">
        <f t="array" ref="N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">
        <f>IF(ISNUMBER(SEARCH("passenger",PROPERTIES[[#This Row],[CARGODEF]])),1,0)</f>
        <v>1</v>
      </c>
      <c r="P35" s="29">
        <v>20</v>
      </c>
      <c r="Q35">
        <v>600</v>
      </c>
      <c r="R35">
        <v>230</v>
      </c>
      <c r="S35" s="26">
        <v>0</v>
      </c>
      <c r="T35" s="25">
        <f>IFERROR(PROPERTIES[[#This Row],[TE_STARTING_KN]]/(PROPERTIES[[#This Row],[WEIGHT]]*9.81),0)</f>
        <v>0</v>
      </c>
      <c r="U35" s="25">
        <v>0.39</v>
      </c>
      <c r="V35" s="22">
        <f>ROUND(IF(IFERROR(PROPERTIES[[#This Row],[TE_COEFFICIENT_CALC]],0)=0,PROPERTIES[[#This Row],[TE_COEFFICIENT_MANUAL]],PROPERTIES[[#This Row],[TE_COEFFICIENT_CALC]]),3)</f>
        <v>0.39</v>
      </c>
      <c r="W35" s="10" cm="1">
        <f t="array" ref="W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" s="32">
        <v>0</v>
      </c>
      <c r="Y35" s="8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8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9" t="b">
        <v>0</v>
      </c>
      <c r="AY35"/>
      <c r="AZ35"/>
      <c r="BA35"/>
    </row>
    <row r="36" spans="1:53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t="s">
        <v>1756</v>
      </c>
      <c r="F36" t="str">
        <f>_xlfn.XLOOKUP(PROPERTIES[[#This Row],[COUNTRY]],COUNTRIES[COUNTRY_DESCRIPTION],COUNTRIES[COUNTRY_LABEL],"")</f>
        <v>DK</v>
      </c>
      <c r="G36" t="str" cm="1">
        <f t="array" ref="G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6" t="s">
        <v>17</v>
      </c>
      <c r="I36">
        <v>52</v>
      </c>
      <c r="J36">
        <v>8</v>
      </c>
      <c r="K36">
        <v>8</v>
      </c>
      <c r="L36" t="str" cm="1">
        <f t="array" ref="L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6">
        <f>_xlfn.XLOOKUP("LOADINGSPEEDDEF_"&amp;PROPERTIES[[#This Row],[LOADINGSPEED]],LOADINGSPEEDDEF[TYPE],LOADINGSPEEDDEF[SPEED])</f>
        <v>40</v>
      </c>
      <c r="N36" cm="1">
        <f t="array" ref="N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">
        <f>IF(ISNUMBER(SEARCH("passenger",PROPERTIES[[#This Row],[CARGODEF]])),1,0)</f>
        <v>1</v>
      </c>
      <c r="P36" s="29">
        <v>65</v>
      </c>
      <c r="Q36">
        <v>500</v>
      </c>
      <c r="R36">
        <v>120</v>
      </c>
      <c r="S36" s="26">
        <v>0</v>
      </c>
      <c r="T36" s="25">
        <f>IFERROR(PROPERTIES[[#This Row],[TE_STARTING_KN]]/(PROPERTIES[[#This Row],[WEIGHT]]*9.81),0)</f>
        <v>0</v>
      </c>
      <c r="U36" s="25">
        <v>0.31</v>
      </c>
      <c r="V36" s="22">
        <f>ROUND(IF(IFERROR(PROPERTIES[[#This Row],[TE_COEFFICIENT_CALC]],0)=0,PROPERTIES[[#This Row],[TE_COEFFICIENT_MANUAL]],PROPERTIES[[#This Row],[TE_COEFFICIENT_CALC]]),3)</f>
        <v>0.31</v>
      </c>
      <c r="W36" s="10" cm="1">
        <f t="array" ref="W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36" s="32">
        <v>0</v>
      </c>
      <c r="Y36" s="8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8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9" t="b">
        <v>0</v>
      </c>
      <c r="AY36"/>
      <c r="AZ36"/>
      <c r="BA36"/>
    </row>
    <row r="37" spans="1:53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t="s">
        <v>1863</v>
      </c>
      <c r="F37" t="str">
        <f>_xlfn.XLOOKUP(PROPERTIES[[#This Row],[COUNTRY]],COUNTRIES[COUNTRY_DESCRIPTION],COUNTRIES[COUNTRY_LABEL],"")</f>
        <v>NO</v>
      </c>
      <c r="G37" t="str" cm="1">
        <f t="array" ref="G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7" t="s">
        <v>17</v>
      </c>
      <c r="I37">
        <v>40</v>
      </c>
      <c r="J37">
        <v>6</v>
      </c>
      <c r="K37">
        <v>6</v>
      </c>
      <c r="L37" t="str" cm="1">
        <f t="array" ref="L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7">
        <f>_xlfn.XLOOKUP("LOADINGSPEEDDEF_"&amp;PROPERTIES[[#This Row],[LOADINGSPEED]],LOADINGSPEEDDEF[TYPE],LOADINGSPEEDDEF[SPEED])</f>
        <v>40</v>
      </c>
      <c r="N37" cm="1">
        <f t="array" ref="N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">
        <f>IF(ISNUMBER(SEARCH("passenger",PROPERTIES[[#This Row],[CARGODEF]])),1,0)</f>
        <v>1</v>
      </c>
      <c r="P37" s="29">
        <v>10</v>
      </c>
      <c r="Q37">
        <v>120</v>
      </c>
      <c r="R37">
        <v>100</v>
      </c>
      <c r="S37" s="26">
        <v>0</v>
      </c>
      <c r="T37" s="25">
        <f>IFERROR(PROPERTIES[[#This Row],[TE_STARTING_KN]]/(PROPERTIES[[#This Row],[WEIGHT]]*9.81),0)</f>
        <v>0</v>
      </c>
      <c r="U37" s="25">
        <v>0.41</v>
      </c>
      <c r="V37" s="22">
        <f>ROUND(IF(IFERROR(PROPERTIES[[#This Row],[TE_COEFFICIENT_CALC]],0)=0,PROPERTIES[[#This Row],[TE_COEFFICIENT_MANUAL]],PROPERTIES[[#This Row],[TE_COEFFICIENT_CALC]]),3)</f>
        <v>0.41</v>
      </c>
      <c r="W37" s="10" cm="1">
        <f t="array" ref="W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7" s="32">
        <v>0</v>
      </c>
      <c r="Y37" s="8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8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9" t="b">
        <v>0</v>
      </c>
      <c r="AY37"/>
      <c r="AZ37"/>
      <c r="BA37"/>
    </row>
    <row r="38" spans="1:53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t="s">
        <v>1753</v>
      </c>
      <c r="F38" t="str">
        <f>_xlfn.XLOOKUP(PROPERTIES[[#This Row],[COUNTRY]],COUNTRIES[COUNTRY_DESCRIPTION],COUNTRIES[COUNTRY_LABEL],"")</f>
        <v>CZ</v>
      </c>
      <c r="G38" t="str" cm="1">
        <f t="array" ref="G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8" t="s">
        <v>17</v>
      </c>
      <c r="I38">
        <v>72</v>
      </c>
      <c r="J38">
        <v>7</v>
      </c>
      <c r="K38">
        <v>7</v>
      </c>
      <c r="L38" t="str" cm="1">
        <f t="array" ref="L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8">
        <f>_xlfn.XLOOKUP("LOADINGSPEEDDEF_"&amp;PROPERTIES[[#This Row],[LOADINGSPEED]],LOADINGSPEEDDEF[TYPE],LOADINGSPEEDDEF[SPEED])</f>
        <v>40</v>
      </c>
      <c r="N38" cm="1">
        <f t="array" ref="N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">
        <f>IF(ISNUMBER(SEARCH("passenger",PROPERTIES[[#This Row],[CARGODEF]])),1,0)</f>
        <v>1</v>
      </c>
      <c r="P38" s="29">
        <v>36</v>
      </c>
      <c r="Q38">
        <v>330</v>
      </c>
      <c r="R38">
        <v>130</v>
      </c>
      <c r="S38" s="26">
        <v>0</v>
      </c>
      <c r="T38" s="25">
        <f>IFERROR(PROPERTIES[[#This Row],[TE_STARTING_KN]]/(PROPERTIES[[#This Row],[WEIGHT]]*9.81),0)</f>
        <v>0</v>
      </c>
      <c r="U38" s="25">
        <v>0.33</v>
      </c>
      <c r="V38" s="22">
        <f>ROUND(IF(IFERROR(PROPERTIES[[#This Row],[TE_COEFFICIENT_CALC]],0)=0,PROPERTIES[[#This Row],[TE_COEFFICIENT_MANUAL]],PROPERTIES[[#This Row],[TE_COEFFICIENT_CALC]]),3)</f>
        <v>0.33</v>
      </c>
      <c r="W38" s="10" cm="1">
        <f t="array" ref="W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" s="32">
        <v>0</v>
      </c>
      <c r="Y38" s="8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8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9" t="b">
        <v>0</v>
      </c>
      <c r="AY38"/>
      <c r="AZ38"/>
      <c r="BA38"/>
    </row>
    <row r="39" spans="1:53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t="s">
        <v>1862</v>
      </c>
      <c r="F39" t="str">
        <f>_xlfn.XLOOKUP(PROPERTIES[[#This Row],[COUNTRY]],COUNTRIES[COUNTRY_DESCRIPTION],COUNTRIES[COUNTRY_LABEL],"")</f>
        <v>NL</v>
      </c>
      <c r="G39" t="str" cm="1">
        <f t="array" ref="G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9" t="s">
        <v>17</v>
      </c>
      <c r="I39">
        <f>15+56+8+8</f>
        <v>87</v>
      </c>
      <c r="J39">
        <v>8</v>
      </c>
      <c r="K39">
        <v>8</v>
      </c>
      <c r="L39" t="str" cm="1">
        <f t="array" ref="L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9">
        <f>_xlfn.XLOOKUP("LOADINGSPEEDDEF_"&amp;PROPERTIES[[#This Row],[LOADINGSPEED]],LOADINGSPEEDDEF[TYPE],LOADINGSPEEDDEF[SPEED])</f>
        <v>40</v>
      </c>
      <c r="N39" cm="1">
        <f t="array" ref="N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">
        <f>IF(ISNUMBER(SEARCH("passenger",PROPERTIES[[#This Row],[CARGODEF]])),1,0)</f>
        <v>1</v>
      </c>
      <c r="P39" s="29">
        <v>53</v>
      </c>
      <c r="Q39">
        <v>294</v>
      </c>
      <c r="R39">
        <v>105</v>
      </c>
      <c r="S39" s="26">
        <v>0</v>
      </c>
      <c r="T39" s="25">
        <f>IFERROR(PROPERTIES[[#This Row],[TE_STARTING_KN]]/(PROPERTIES[[#This Row],[WEIGHT]]*9.81),0)</f>
        <v>0</v>
      </c>
      <c r="U39" s="25">
        <v>0.34</v>
      </c>
      <c r="V39" s="22">
        <f>ROUND(IF(IFERROR(PROPERTIES[[#This Row],[TE_COEFFICIENT_CALC]],0)=0,PROPERTIES[[#This Row],[TE_COEFFICIENT_MANUAL]],PROPERTIES[[#This Row],[TE_COEFFICIENT_CALC]]),3)</f>
        <v>0.34</v>
      </c>
      <c r="W39" s="10" cm="1">
        <f t="array" ref="W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" s="32">
        <v>0</v>
      </c>
      <c r="Y39" s="8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8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9" t="b">
        <v>0</v>
      </c>
      <c r="AY39"/>
      <c r="AZ39"/>
      <c r="BA39"/>
    </row>
    <row r="40" spans="1:53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t="s">
        <v>1710</v>
      </c>
      <c r="F40" t="str">
        <f>_xlfn.XLOOKUP(PROPERTIES[[#This Row],[COUNTRY]],COUNTRIES[COUNTRY_DESCRIPTION],COUNTRIES[COUNTRY_LABEL],"")</f>
        <v>AU</v>
      </c>
      <c r="G40" t="str" cm="1">
        <f t="array" ref="G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0" t="s">
        <v>17</v>
      </c>
      <c r="I40">
        <v>56</v>
      </c>
      <c r="J40">
        <v>7</v>
      </c>
      <c r="K40">
        <v>7</v>
      </c>
      <c r="L40" t="str" cm="1">
        <f t="array" ref="L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0">
        <f>_xlfn.XLOOKUP("LOADINGSPEEDDEF_"&amp;PROPERTIES[[#This Row],[LOADINGSPEED]],LOADINGSPEEDDEF[TYPE],LOADINGSPEEDDEF[SPEED])</f>
        <v>40</v>
      </c>
      <c r="N40" cm="1">
        <f t="array" ref="N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">
        <f>IF(ISNUMBER(SEARCH("passenger",PROPERTIES[[#This Row],[CARGODEF]])),1,0)</f>
        <v>1</v>
      </c>
      <c r="P40" s="29">
        <v>48</v>
      </c>
      <c r="Q40">
        <v>300</v>
      </c>
      <c r="R40">
        <v>100</v>
      </c>
      <c r="S40" s="26">
        <v>0</v>
      </c>
      <c r="T40" s="25">
        <f>IFERROR(PROPERTIES[[#This Row],[TE_STARTING_KN]]/(PROPERTIES[[#This Row],[WEIGHT]]*9.81),0)</f>
        <v>0</v>
      </c>
      <c r="U40" s="25">
        <v>0.34</v>
      </c>
      <c r="V40" s="22">
        <f>ROUND(IF(IFERROR(PROPERTIES[[#This Row],[TE_COEFFICIENT_CALC]],0)=0,PROPERTIES[[#This Row],[TE_COEFFICIENT_MANUAL]],PROPERTIES[[#This Row],[TE_COEFFICIENT_CALC]]),3)</f>
        <v>0.34</v>
      </c>
      <c r="W40" s="10" cm="1">
        <f t="array" ref="W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" s="32">
        <v>0</v>
      </c>
      <c r="Y40" s="8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8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9" t="b">
        <v>0</v>
      </c>
      <c r="AY40"/>
      <c r="AZ40"/>
      <c r="BA40"/>
    </row>
    <row r="41" spans="1:53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t="s">
        <v>1880</v>
      </c>
      <c r="F41" t="str">
        <f>_xlfn.XLOOKUP(PROPERTIES[[#This Row],[COUNTRY]],COUNTRIES[COUNTRY_DESCRIPTION],COUNTRIES[COUNTRY_LABEL],"")</f>
        <v>PT</v>
      </c>
      <c r="G41" t="str" cm="1">
        <f t="array" ref="G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1" t="s">
        <v>17</v>
      </c>
      <c r="I41">
        <v>25</v>
      </c>
      <c r="J41">
        <v>5</v>
      </c>
      <c r="K41">
        <v>5</v>
      </c>
      <c r="L41" t="str" cm="1">
        <f t="array" ref="L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1">
        <f>_xlfn.XLOOKUP("LOADINGSPEEDDEF_"&amp;PROPERTIES[[#This Row],[LOADINGSPEED]],LOADINGSPEEDDEF[TYPE],LOADINGSPEEDDEF[SPEED])</f>
        <v>40</v>
      </c>
      <c r="N41" cm="1">
        <f t="array" ref="N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">
        <f>IF(ISNUMBER(SEARCH("passenger",PROPERTIES[[#This Row],[CARGODEF]])),1,0)</f>
        <v>1</v>
      </c>
      <c r="P41" s="29">
        <v>8</v>
      </c>
      <c r="Q41">
        <v>90</v>
      </c>
      <c r="R41">
        <v>89</v>
      </c>
      <c r="S41" s="26">
        <v>0</v>
      </c>
      <c r="T41" s="25">
        <f>IFERROR(PROPERTIES[[#This Row],[TE_STARTING_KN]]/(PROPERTIES[[#This Row],[WEIGHT]]*9.81),0)</f>
        <v>0</v>
      </c>
      <c r="U41" s="25">
        <v>0.2</v>
      </c>
      <c r="V41" s="22">
        <f>ROUND(IF(IFERROR(PROPERTIES[[#This Row],[TE_COEFFICIENT_CALC]],0)=0,PROPERTIES[[#This Row],[TE_COEFFICIENT_MANUAL]],PROPERTIES[[#This Row],[TE_COEFFICIENT_CALC]]),3)</f>
        <v>0.2</v>
      </c>
      <c r="W41" s="10" cm="1">
        <f t="array" ref="W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41" s="32">
        <v>0</v>
      </c>
      <c r="Y41" s="8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8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9" t="b">
        <v>0</v>
      </c>
      <c r="AY41"/>
      <c r="AZ41"/>
      <c r="BA41"/>
    </row>
    <row r="42" spans="1:53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t="s">
        <v>1717</v>
      </c>
      <c r="F42" t="str">
        <f>_xlfn.XLOOKUP(PROPERTIES[[#This Row],[COUNTRY]],COUNTRIES[COUNTRY_DESCRIPTION],COUNTRIES[COUNTRY_LABEL],"")</f>
        <v>BE</v>
      </c>
      <c r="G42" t="str" cm="1">
        <f t="array" ref="G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2" t="s">
        <v>17</v>
      </c>
      <c r="I42">
        <v>99</v>
      </c>
      <c r="J42">
        <v>7</v>
      </c>
      <c r="K42">
        <v>7</v>
      </c>
      <c r="L42" t="str" cm="1">
        <f t="array" ref="L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2">
        <f>_xlfn.XLOOKUP("LOADINGSPEEDDEF_"&amp;PROPERTIES[[#This Row],[LOADINGSPEED]],LOADINGSPEEDDEF[TYPE],LOADINGSPEEDDEF[SPEED])</f>
        <v>40</v>
      </c>
      <c r="N42" cm="1">
        <f t="array" ref="N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">
        <f>IF(ISNUMBER(SEARCH("passenger",PROPERTIES[[#This Row],[CARGODEF]])),1,0)</f>
        <v>1</v>
      </c>
      <c r="P42" s="29">
        <v>54</v>
      </c>
      <c r="Q42">
        <v>400</v>
      </c>
      <c r="R42">
        <v>90</v>
      </c>
      <c r="S42" s="26">
        <v>0</v>
      </c>
      <c r="T42" s="25">
        <f>IFERROR(PROPERTIES[[#This Row],[TE_STARTING_KN]]/(PROPERTIES[[#This Row],[WEIGHT]]*9.81),0)</f>
        <v>0</v>
      </c>
      <c r="U42" s="25">
        <v>0.34</v>
      </c>
      <c r="V42" s="22">
        <f>ROUND(IF(IFERROR(PROPERTIES[[#This Row],[TE_COEFFICIENT_CALC]],0)=0,PROPERTIES[[#This Row],[TE_COEFFICIENT_MANUAL]],PROPERTIES[[#This Row],[TE_COEFFICIENT_CALC]]),3)</f>
        <v>0.34</v>
      </c>
      <c r="W42" s="10" cm="1">
        <f t="array" ref="W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" s="32">
        <v>0</v>
      </c>
      <c r="Y42" s="8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8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9" t="b">
        <v>0</v>
      </c>
      <c r="AY42"/>
      <c r="AZ42"/>
      <c r="BA42"/>
    </row>
    <row r="43" spans="1:53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t="s">
        <v>1719</v>
      </c>
      <c r="F43" t="str">
        <f>_xlfn.XLOOKUP(PROPERTIES[[#This Row],[COUNTRY]],COUNTRIES[COUNTRY_DESCRIPTION],COUNTRIES[COUNTRY_LABEL],"")</f>
        <v>BG</v>
      </c>
      <c r="G43" t="str" cm="1">
        <f t="array" ref="G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3" t="s">
        <v>17</v>
      </c>
      <c r="I43">
        <v>37</v>
      </c>
      <c r="J43">
        <v>8</v>
      </c>
      <c r="K43">
        <v>8</v>
      </c>
      <c r="L43" t="str" cm="1">
        <f t="array" ref="L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3">
        <f>_xlfn.XLOOKUP("LOADINGSPEEDDEF_"&amp;PROPERTIES[[#This Row],[LOADINGSPEED]],LOADINGSPEEDDEF[TYPE],LOADINGSPEEDDEF[SPEED])</f>
        <v>40</v>
      </c>
      <c r="N43" cm="1">
        <f t="array" ref="N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">
        <f>IF(ISNUMBER(SEARCH("passenger",PROPERTIES[[#This Row],[CARGODEF]])),1,0)</f>
        <v>1</v>
      </c>
      <c r="P43" s="29">
        <v>53</v>
      </c>
      <c r="Q43">
        <f>2*265</f>
        <v>530</v>
      </c>
      <c r="R43">
        <v>125</v>
      </c>
      <c r="S43" s="26">
        <v>0</v>
      </c>
      <c r="T43" s="25">
        <f>IFERROR(PROPERTIES[[#This Row],[TE_STARTING_KN]]/(PROPERTIES[[#This Row],[WEIGHT]]*9.81),0)</f>
        <v>0</v>
      </c>
      <c r="U43" s="25">
        <v>0.2</v>
      </c>
      <c r="V43" s="22">
        <f>ROUND(IF(IFERROR(PROPERTIES[[#This Row],[TE_COEFFICIENT_CALC]],0)=0,PROPERTIES[[#This Row],[TE_COEFFICIENT_MANUAL]],PROPERTIES[[#This Row],[TE_COEFFICIENT_CALC]]),3)</f>
        <v>0.2</v>
      </c>
      <c r="W43" s="10" cm="1">
        <f t="array" ref="W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" s="32">
        <v>0</v>
      </c>
      <c r="Y43" s="8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8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9" t="b">
        <v>0</v>
      </c>
      <c r="AY43"/>
      <c r="AZ43"/>
      <c r="BA43"/>
    </row>
    <row r="44" spans="1:53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t="s">
        <v>1785</v>
      </c>
      <c r="F44" t="str">
        <f>_xlfn.XLOOKUP(PROPERTIES[[#This Row],[COUNTRY]],COUNTRIES[COUNTRY_DESCRIPTION],COUNTRIES[COUNTRY_LABEL],"")</f>
        <v>GR</v>
      </c>
      <c r="G44" t="str" cm="1">
        <f t="array" ref="G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4" t="s">
        <v>17</v>
      </c>
      <c r="I44">
        <v>68</v>
      </c>
      <c r="J44">
        <v>8</v>
      </c>
      <c r="K44">
        <v>8</v>
      </c>
      <c r="L44" t="str" cm="1">
        <f t="array" ref="L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4">
        <f>_xlfn.XLOOKUP("LOADINGSPEEDDEF_"&amp;PROPERTIES[[#This Row],[LOADINGSPEED]],LOADINGSPEEDDEF[TYPE],LOADINGSPEEDDEF[SPEED])</f>
        <v>40</v>
      </c>
      <c r="N44" cm="1">
        <f t="array" ref="N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">
        <f>IF(ISNUMBER(SEARCH("passenger",PROPERTIES[[#This Row],[CARGODEF]])),1,0)</f>
        <v>1</v>
      </c>
      <c r="P44" s="29">
        <v>48</v>
      </c>
      <c r="Q44">
        <v>790</v>
      </c>
      <c r="R44">
        <v>105</v>
      </c>
      <c r="S44" s="26">
        <v>0</v>
      </c>
      <c r="T44" s="25">
        <f>IFERROR(PROPERTIES[[#This Row],[TE_STARTING_KN]]/(PROPERTIES[[#This Row],[WEIGHT]]*9.81),0)</f>
        <v>0</v>
      </c>
      <c r="U44" s="25">
        <v>0.19</v>
      </c>
      <c r="V44" s="22">
        <f>ROUND(IF(IFERROR(PROPERTIES[[#This Row],[TE_COEFFICIENT_CALC]],0)=0,PROPERTIES[[#This Row],[TE_COEFFICIENT_MANUAL]],PROPERTIES[[#This Row],[TE_COEFFICIENT_CALC]]),3)</f>
        <v>0.19</v>
      </c>
      <c r="W44" s="10" cm="1">
        <f t="array" ref="W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" s="32">
        <v>0</v>
      </c>
      <c r="Y44" s="8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8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9" t="b">
        <v>0</v>
      </c>
      <c r="AY44"/>
      <c r="AZ44"/>
      <c r="BA44"/>
    </row>
    <row r="45" spans="1:53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t="s">
        <v>1919</v>
      </c>
      <c r="F45" t="str">
        <f>_xlfn.XLOOKUP(PROPERTIES[[#This Row],[COUNTRY]],COUNTRIES[COUNTRY_DESCRIPTION],COUNTRIES[COUNTRY_LABEL],"")</f>
        <v>TN</v>
      </c>
      <c r="G45" t="str" cm="1">
        <f t="array" ref="G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" t="s">
        <v>17</v>
      </c>
      <c r="I45">
        <v>54</v>
      </c>
      <c r="J45">
        <v>8</v>
      </c>
      <c r="K45">
        <v>8</v>
      </c>
      <c r="L45" t="str" cm="1">
        <f t="array" ref="L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">
        <f>_xlfn.XLOOKUP("LOADINGSPEEDDEF_"&amp;PROPERTIES[[#This Row],[LOADINGSPEED]],LOADINGSPEEDDEF[TYPE],LOADINGSPEEDDEF[SPEED])</f>
        <v>40</v>
      </c>
      <c r="N45" cm="1">
        <f t="array" ref="N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">
        <f>IF(ISNUMBER(SEARCH("passenger",PROPERTIES[[#This Row],[CARGODEF]])),1,0)</f>
        <v>1</v>
      </c>
      <c r="P45" s="29">
        <v>60</v>
      </c>
      <c r="Q45">
        <v>1045</v>
      </c>
      <c r="R45">
        <v>130</v>
      </c>
      <c r="S45" s="26">
        <v>0</v>
      </c>
      <c r="T45" s="25">
        <f>IFERROR(PROPERTIES[[#This Row],[TE_STARTING_KN]]/(PROPERTIES[[#This Row],[WEIGHT]]*9.81),0)</f>
        <v>0</v>
      </c>
      <c r="U45" s="25">
        <v>0.38</v>
      </c>
      <c r="V45" s="22">
        <f>ROUND(IF(IFERROR(PROPERTIES[[#This Row],[TE_COEFFICIENT_CALC]],0)=0,PROPERTIES[[#This Row],[TE_COEFFICIENT_MANUAL]],PROPERTIES[[#This Row],[TE_COEFFICIENT_CALC]]),3)</f>
        <v>0.38</v>
      </c>
      <c r="W45" s="10" cm="1">
        <f t="array" ref="W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" s="32">
        <v>0</v>
      </c>
      <c r="Y45" s="8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8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9" t="b">
        <v>0</v>
      </c>
      <c r="AY45"/>
      <c r="AZ45"/>
      <c r="BA45"/>
    </row>
    <row r="46" spans="1:53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t="s">
        <v>1928</v>
      </c>
      <c r="F46" t="str">
        <f>_xlfn.XLOOKUP(PROPERTIES[[#This Row],[COUNTRY]],COUNTRIES[COUNTRY_DESCRIPTION],COUNTRIES[COUNTRY_LABEL],"")</f>
        <v>US</v>
      </c>
      <c r="G46" t="str" cm="1">
        <f t="array" ref="G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" t="s">
        <v>17</v>
      </c>
      <c r="I46">
        <v>86</v>
      </c>
      <c r="J46">
        <v>8</v>
      </c>
      <c r="K46">
        <v>8</v>
      </c>
      <c r="L46" t="str" cm="1">
        <f t="array" ref="L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">
        <f>_xlfn.XLOOKUP("LOADINGSPEEDDEF_"&amp;PROPERTIES[[#This Row],[LOADINGSPEED]],LOADINGSPEEDDEF[TYPE],LOADINGSPEEDDEF[SPEED])</f>
        <v>40</v>
      </c>
      <c r="N46" cm="1">
        <f t="array" ref="N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">
        <f>IF(ISNUMBER(SEARCH("passenger",PROPERTIES[[#This Row],[CARGODEF]])),1,0)</f>
        <v>1</v>
      </c>
      <c r="P46" s="29">
        <v>58</v>
      </c>
      <c r="Q46">
        <v>360</v>
      </c>
      <c r="R46">
        <v>130</v>
      </c>
      <c r="S46" s="26">
        <v>0</v>
      </c>
      <c r="T46" s="25">
        <f>IFERROR(PROPERTIES[[#This Row],[TE_STARTING_KN]]/(PROPERTIES[[#This Row],[WEIGHT]]*9.81),0)</f>
        <v>0</v>
      </c>
      <c r="U46" s="25">
        <v>0.26</v>
      </c>
      <c r="V46" s="22">
        <f>ROUND(IF(IFERROR(PROPERTIES[[#This Row],[TE_COEFFICIENT_CALC]],0)=0,PROPERTIES[[#This Row],[TE_COEFFICIENT_MANUAL]],PROPERTIES[[#This Row],[TE_COEFFICIENT_CALC]]),3)</f>
        <v>0.26</v>
      </c>
      <c r="W46" s="10" cm="1">
        <f t="array" ref="W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" s="32">
        <v>0</v>
      </c>
      <c r="Y46" s="8">
        <v>0</v>
      </c>
      <c r="Z46" t="s">
        <v>874</v>
      </c>
      <c r="AA46" t="s">
        <v>872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8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9" t="b">
        <v>0</v>
      </c>
      <c r="AY46"/>
      <c r="AZ46"/>
      <c r="BA46"/>
    </row>
    <row r="47" spans="1:53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t="s">
        <v>1767</v>
      </c>
      <c r="F47" t="str">
        <f>_xlfn.XLOOKUP(PROPERTIES[[#This Row],[COUNTRY]],COUNTRIES[COUNTRY_DESCRIPTION],COUNTRIES[COUNTRY_LABEL],"")</f>
        <v>FI</v>
      </c>
      <c r="G47" t="str" cm="1">
        <f t="array" ref="G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" t="s">
        <v>17</v>
      </c>
      <c r="I47">
        <v>63</v>
      </c>
      <c r="J47">
        <v>8</v>
      </c>
      <c r="K47">
        <v>8</v>
      </c>
      <c r="L47" t="str" cm="1">
        <f t="array" ref="L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">
        <f>_xlfn.XLOOKUP("LOADINGSPEEDDEF_"&amp;PROPERTIES[[#This Row],[LOADINGSPEED]],LOADINGSPEEDDEF[TYPE],LOADINGSPEEDDEF[SPEED])</f>
        <v>40</v>
      </c>
      <c r="N47" t="str" cm="1">
        <f t="array" ref="N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">
        <f>IF(ISNUMBER(SEARCH("passenger",PROPERTIES[[#This Row],[CARGODEF]])),1,0)</f>
        <v>1</v>
      </c>
      <c r="P47" s="29">
        <v>48</v>
      </c>
      <c r="Q47">
        <v>404</v>
      </c>
      <c r="R47">
        <v>120</v>
      </c>
      <c r="S47" s="26">
        <v>0</v>
      </c>
      <c r="T47" s="25">
        <f>IFERROR(PROPERTIES[[#This Row],[TE_STARTING_KN]]/(PROPERTIES[[#This Row],[WEIGHT]]*9.81),0)</f>
        <v>0</v>
      </c>
      <c r="U47" s="25">
        <v>0.35</v>
      </c>
      <c r="V47" s="22">
        <f>ROUND(IF(IFERROR(PROPERTIES[[#This Row],[TE_COEFFICIENT_CALC]],0)=0,PROPERTIES[[#This Row],[TE_COEFFICIENT_MANUAL]],PROPERTIES[[#This Row],[TE_COEFFICIENT_CALC]]),3)</f>
        <v>0.35</v>
      </c>
      <c r="W47" s="10" cm="1">
        <f t="array" ref="W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" s="32">
        <v>0</v>
      </c>
      <c r="Y47" s="8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8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9" t="b">
        <v>0</v>
      </c>
      <c r="AY47"/>
      <c r="AZ47"/>
      <c r="BA47"/>
    </row>
    <row r="48" spans="1:53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t="s">
        <v>1753</v>
      </c>
      <c r="F48" t="str">
        <f>_xlfn.XLOOKUP(PROPERTIES[[#This Row],[COUNTRY]],COUNTRIES[COUNTRY_DESCRIPTION],COUNTRIES[COUNTRY_LABEL],"")</f>
        <v>CZ</v>
      </c>
      <c r="G48" t="str" cm="1">
        <f t="array" ref="G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" t="s">
        <v>17</v>
      </c>
      <c r="I48">
        <v>140</v>
      </c>
      <c r="J48">
        <v>8</v>
      </c>
      <c r="K48">
        <v>8</v>
      </c>
      <c r="L48" t="str" cm="1">
        <f t="array" ref="L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">
        <f>_xlfn.XLOOKUP("LOADINGSPEEDDEF_"&amp;PROPERTIES[[#This Row],[LOADINGSPEED]],LOADINGSPEEDDEF[TYPE],LOADINGSPEEDDEF[SPEED])</f>
        <v>40</v>
      </c>
      <c r="N48" t="str" cm="1">
        <f t="array" ref="N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">
        <f>IF(ISNUMBER(SEARCH("passenger",PROPERTIES[[#This Row],[CARGODEF]])),1,0)</f>
        <v>1</v>
      </c>
      <c r="P48" s="29">
        <v>40</v>
      </c>
      <c r="Q48">
        <v>710</v>
      </c>
      <c r="R48">
        <v>120</v>
      </c>
      <c r="S48" s="26">
        <v>100</v>
      </c>
      <c r="T48" s="25">
        <f>IFERROR(PROPERTIES[[#This Row],[TE_STARTING_KN]]/(PROPERTIES[[#This Row],[WEIGHT]]*9.81),0)</f>
        <v>0.254841997961264</v>
      </c>
      <c r="U48" s="25">
        <v>0.37</v>
      </c>
      <c r="V48" s="22">
        <f>ROUND(IF(IFERROR(PROPERTIES[[#This Row],[TE_COEFFICIENT_CALC]],0)=0,PROPERTIES[[#This Row],[TE_COEFFICIENT_MANUAL]],PROPERTIES[[#This Row],[TE_COEFFICIENT_CALC]]),3)</f>
        <v>0.255</v>
      </c>
      <c r="W48" s="10" cm="1">
        <f t="array" ref="W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" s="32">
        <v>0</v>
      </c>
      <c r="Y48" s="8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8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9" t="b">
        <v>0</v>
      </c>
      <c r="AY48"/>
      <c r="AZ48"/>
      <c r="BA48"/>
    </row>
    <row r="49" spans="1:53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t="s">
        <v>1806</v>
      </c>
      <c r="F49" t="str">
        <f>_xlfn.XLOOKUP(PROPERTIES[[#This Row],[COUNTRY]],COUNTRIES[COUNTRY_DESCRIPTION],COUNTRIES[COUNTRY_LABEL],"")</f>
        <v>IT</v>
      </c>
      <c r="G49" t="str" cm="1">
        <f t="array" ref="G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" t="s">
        <v>17</v>
      </c>
      <c r="I49">
        <v>68</v>
      </c>
      <c r="J49">
        <v>8</v>
      </c>
      <c r="K49">
        <v>8</v>
      </c>
      <c r="L49" t="str" cm="1">
        <f t="array" ref="L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">
        <f>_xlfn.XLOOKUP("LOADINGSPEEDDEF_"&amp;PROPERTIES[[#This Row],[LOADINGSPEED]],LOADINGSPEEDDEF[TYPE],LOADINGSPEEDDEF[SPEED])</f>
        <v>40</v>
      </c>
      <c r="N49" cm="1">
        <f t="array" ref="N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">
        <f>IF(ISNUMBER(SEARCH("passenger",PROPERTIES[[#This Row],[CARGODEF]])),1,0)</f>
        <v>1</v>
      </c>
      <c r="P49" s="29">
        <v>36</v>
      </c>
      <c r="Q49">
        <v>335</v>
      </c>
      <c r="R49">
        <v>130</v>
      </c>
      <c r="S49" s="26">
        <v>0</v>
      </c>
      <c r="T49" s="25">
        <f>IFERROR(PROPERTIES[[#This Row],[TE_STARTING_KN]]/(PROPERTIES[[#This Row],[WEIGHT]]*9.81),0)</f>
        <v>0</v>
      </c>
      <c r="U49" s="25">
        <v>0.23</v>
      </c>
      <c r="V49" s="22">
        <f>ROUND(IF(IFERROR(PROPERTIES[[#This Row],[TE_COEFFICIENT_CALC]],0)=0,PROPERTIES[[#This Row],[TE_COEFFICIENT_MANUAL]],PROPERTIES[[#This Row],[TE_COEFFICIENT_CALC]]),3)</f>
        <v>0.23</v>
      </c>
      <c r="W49" s="10" cm="1">
        <f t="array" ref="W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" s="32">
        <v>0</v>
      </c>
      <c r="Y49" s="8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8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9" t="b">
        <v>0</v>
      </c>
      <c r="AY49"/>
      <c r="AZ49"/>
      <c r="BA49"/>
    </row>
    <row r="50" spans="1:53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t="s">
        <v>1753</v>
      </c>
      <c r="F50" t="str">
        <f>_xlfn.XLOOKUP(PROPERTIES[[#This Row],[COUNTRY]],COUNTRIES[COUNTRY_DESCRIPTION],COUNTRIES[COUNTRY_LABEL],"")</f>
        <v>CZ</v>
      </c>
      <c r="G50" t="str" cm="1">
        <f t="array" ref="G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" t="s">
        <v>17</v>
      </c>
      <c r="I50">
        <v>40</v>
      </c>
      <c r="J50">
        <v>7</v>
      </c>
      <c r="K50">
        <v>7</v>
      </c>
      <c r="L50" t="str" cm="1">
        <f t="array" ref="L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">
        <f>_xlfn.XLOOKUP("LOADINGSPEEDDEF_"&amp;PROPERTIES[[#This Row],[LOADINGSPEED]],LOADINGSPEEDDEF[TYPE],LOADINGSPEEDDEF[SPEED])</f>
        <v>40</v>
      </c>
      <c r="N50" cm="1">
        <f t="array" ref="N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">
        <f>IF(ISNUMBER(SEARCH("passenger",PROPERTIES[[#This Row],[CARGODEF]])),1,0)</f>
        <v>1</v>
      </c>
      <c r="P50" s="29">
        <v>23</v>
      </c>
      <c r="Q50">
        <v>150</v>
      </c>
      <c r="R50">
        <v>35</v>
      </c>
      <c r="S50" s="26">
        <v>0</v>
      </c>
      <c r="T50" s="25">
        <f>IFERROR(PROPERTIES[[#This Row],[TE_STARTING_KN]]/(PROPERTIES[[#This Row],[WEIGHT]]*9.81),0)</f>
        <v>0</v>
      </c>
      <c r="U50" s="25">
        <v>0.33</v>
      </c>
      <c r="V50" s="22">
        <f>ROUND(IF(IFERROR(PROPERTIES[[#This Row],[TE_COEFFICIENT_CALC]],0)=0,PROPERTIES[[#This Row],[TE_COEFFICIENT_MANUAL]],PROPERTIES[[#This Row],[TE_COEFFICIENT_CALC]]),3)</f>
        <v>0.33</v>
      </c>
      <c r="W50" s="10" cm="1">
        <f t="array" ref="W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0" s="32">
        <v>0</v>
      </c>
      <c r="Y50" s="8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8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9" t="b">
        <v>0</v>
      </c>
      <c r="AY50"/>
      <c r="AZ50"/>
      <c r="BA50"/>
    </row>
    <row r="51" spans="1:53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t="s">
        <v>1772</v>
      </c>
      <c r="F51" t="str">
        <f>_xlfn.XLOOKUP(PROPERTIES[[#This Row],[COUNTRY]],COUNTRIES[COUNTRY_DESCRIPTION],COUNTRIES[COUNTRY_LABEL],"")</f>
        <v>FR</v>
      </c>
      <c r="G51" t="str" cm="1">
        <f t="array" ref="G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" t="s">
        <v>17</v>
      </c>
      <c r="I51">
        <v>70</v>
      </c>
      <c r="J51">
        <v>8</v>
      </c>
      <c r="K51">
        <v>8</v>
      </c>
      <c r="L51" t="str" cm="1">
        <f t="array" ref="L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">
        <f>_xlfn.XLOOKUP("LOADINGSPEEDDEF_"&amp;PROPERTIES[[#This Row],[LOADINGSPEED]],LOADINGSPEEDDEF[TYPE],LOADINGSPEEDDEF[SPEED])</f>
        <v>40</v>
      </c>
      <c r="N51" cm="1">
        <f t="array" ref="N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">
        <f>IF(ISNUMBER(SEARCH("passenger",PROPERTIES[[#This Row],[CARGODEF]])),1,0)</f>
        <v>1</v>
      </c>
      <c r="P51" s="29">
        <v>55</v>
      </c>
      <c r="Q51">
        <v>1260</v>
      </c>
      <c r="R51">
        <v>130</v>
      </c>
      <c r="S51" s="26">
        <v>0</v>
      </c>
      <c r="T51" s="25">
        <f>IFERROR(PROPERTIES[[#This Row],[TE_STARTING_KN]]/(PROPERTIES[[#This Row],[WEIGHT]]*9.81),0)</f>
        <v>0</v>
      </c>
      <c r="U51" s="25">
        <v>0.21</v>
      </c>
      <c r="V51" s="22">
        <f>ROUND(IF(IFERROR(PROPERTIES[[#This Row],[TE_COEFFICIENT_CALC]],0)=0,PROPERTIES[[#This Row],[TE_COEFFICIENT_MANUAL]],PROPERTIES[[#This Row],[TE_COEFFICIENT_CALC]]),3)</f>
        <v>0.21</v>
      </c>
      <c r="W51" s="10" cm="1">
        <f t="array" ref="W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1" s="32">
        <v>0</v>
      </c>
      <c r="Y51" s="8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8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9" t="b">
        <v>0</v>
      </c>
      <c r="AY51"/>
      <c r="AZ51"/>
      <c r="BA51"/>
    </row>
    <row r="52" spans="1:53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t="s">
        <v>1754</v>
      </c>
      <c r="F52" t="str">
        <f>_xlfn.XLOOKUP(PROPERTIES[[#This Row],[COUNTRY]],COUNTRIES[COUNTRY_DESCRIPTION],COUNTRIES[COUNTRY_LABEL],"")</f>
        <v>DE</v>
      </c>
      <c r="G52" t="str" cm="1">
        <f t="array" ref="G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" t="s">
        <v>17</v>
      </c>
      <c r="I52">
        <v>50</v>
      </c>
      <c r="J52">
        <v>4</v>
      </c>
      <c r="K52">
        <v>4</v>
      </c>
      <c r="L52" t="str" cm="1">
        <f t="array" ref="L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">
        <f>_xlfn.XLOOKUP("LOADINGSPEEDDEF_"&amp;PROPERTIES[[#This Row],[LOADINGSPEED]],LOADINGSPEEDDEF[TYPE],LOADINGSPEEDDEF[SPEED])</f>
        <v>40</v>
      </c>
      <c r="N52" cm="1">
        <f t="array" ref="N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">
        <f>IF(ISNUMBER(SEARCH("passenger",PROPERTIES[[#This Row],[CARGODEF]])),1,0)</f>
        <v>1</v>
      </c>
      <c r="P52" s="29">
        <v>23</v>
      </c>
      <c r="Q52">
        <v>175</v>
      </c>
      <c r="R52">
        <v>50</v>
      </c>
      <c r="S52" s="26">
        <v>0</v>
      </c>
      <c r="T52" s="25">
        <f>IFERROR(PROPERTIES[[#This Row],[TE_STARTING_KN]]/(PROPERTIES[[#This Row],[WEIGHT]]*9.81),0)</f>
        <v>0</v>
      </c>
      <c r="U52" s="25">
        <v>0.08</v>
      </c>
      <c r="V52" s="22">
        <f>ROUND(IF(IFERROR(PROPERTIES[[#This Row],[TE_COEFFICIENT_CALC]],0)=0,PROPERTIES[[#This Row],[TE_COEFFICIENT_MANUAL]],PROPERTIES[[#This Row],[TE_COEFFICIENT_CALC]]),3)</f>
        <v>0.08</v>
      </c>
      <c r="W52" s="10" cm="1">
        <f t="array" ref="W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2" s="32">
        <v>0</v>
      </c>
      <c r="Y52" s="8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8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9" t="b">
        <v>0</v>
      </c>
      <c r="AY52"/>
      <c r="AZ52"/>
      <c r="BA52"/>
    </row>
    <row r="53" spans="1:53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t="s">
        <v>1754</v>
      </c>
      <c r="F53" t="str">
        <f>_xlfn.XLOOKUP(PROPERTIES[[#This Row],[COUNTRY]],COUNTRIES[COUNTRY_DESCRIPTION],COUNTRIES[COUNTRY_LABEL],"")</f>
        <v>DE</v>
      </c>
      <c r="G53" t="str" cm="1">
        <f t="array" ref="G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" t="s">
        <v>17</v>
      </c>
      <c r="I53">
        <f>(24+84)/2</f>
        <v>54</v>
      </c>
      <c r="J53">
        <v>5</v>
      </c>
      <c r="K53">
        <v>5</v>
      </c>
      <c r="L53" t="str" cm="1">
        <f t="array" ref="L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">
        <f>_xlfn.XLOOKUP("LOADINGSPEEDDEF_"&amp;PROPERTIES[[#This Row],[LOADINGSPEED]],LOADINGSPEEDDEF[TYPE],LOADINGSPEEDDEF[SPEED])</f>
        <v>40</v>
      </c>
      <c r="N53" cm="1">
        <f t="array" ref="N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">
        <f>IF(ISNUMBER(SEARCH("passenger",PROPERTIES[[#This Row],[CARGODEF]])),1,0)</f>
        <v>1</v>
      </c>
      <c r="P53" s="29">
        <v>28</v>
      </c>
      <c r="Q53">
        <v>285</v>
      </c>
      <c r="R53">
        <v>50</v>
      </c>
      <c r="S53" s="26">
        <v>60</v>
      </c>
      <c r="T53" s="25">
        <f>IFERROR(PROPERTIES[[#This Row],[TE_STARTING_KN]]/(PROPERTIES[[#This Row],[WEIGHT]]*9.81),0)</f>
        <v>0.218435998252512</v>
      </c>
      <c r="U53" s="25">
        <v>0.13</v>
      </c>
      <c r="V53" s="22">
        <f>ROUND(IF(IFERROR(PROPERTIES[[#This Row],[TE_COEFFICIENT_CALC]],0)=0,PROPERTIES[[#This Row],[TE_COEFFICIENT_MANUAL]],PROPERTIES[[#This Row],[TE_COEFFICIENT_CALC]]),3)</f>
        <v>0.218</v>
      </c>
      <c r="W53" s="10" cm="1">
        <f t="array" ref="W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" s="32">
        <v>0</v>
      </c>
      <c r="Y53" s="8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8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9" t="b">
        <v>0</v>
      </c>
      <c r="AY53"/>
      <c r="AZ53"/>
      <c r="BA53"/>
    </row>
    <row r="54" spans="1:53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t="s">
        <v>1898</v>
      </c>
      <c r="F54" t="str">
        <f>_xlfn.XLOOKUP(PROPERTIES[[#This Row],[COUNTRY]],COUNTRIES[COUNTRY_DESCRIPTION],COUNTRIES[COUNTRY_LABEL],"")</f>
        <v>SK</v>
      </c>
      <c r="G54" t="str" cm="1">
        <f t="array" ref="G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" t="s">
        <v>17</v>
      </c>
      <c r="I54">
        <v>48</v>
      </c>
      <c r="J54">
        <v>7</v>
      </c>
      <c r="K54">
        <v>7</v>
      </c>
      <c r="L54" t="str" cm="1">
        <f t="array" ref="L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">
        <f>_xlfn.XLOOKUP("LOADINGSPEEDDEF_"&amp;PROPERTIES[[#This Row],[LOADINGSPEED]],LOADINGSPEEDDEF[TYPE],LOADINGSPEEDDEF[SPEED])</f>
        <v>40</v>
      </c>
      <c r="N54" cm="1">
        <f t="array" ref="N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">
        <f>IF(ISNUMBER(SEARCH("passenger",PROPERTIES[[#This Row],[CARGODEF]])),1,0)</f>
        <v>1</v>
      </c>
      <c r="P54" s="29">
        <v>45</v>
      </c>
      <c r="Q54">
        <v>240</v>
      </c>
      <c r="R54">
        <v>40</v>
      </c>
      <c r="S54" s="26">
        <v>0</v>
      </c>
      <c r="T54" s="25">
        <f>IFERROR(PROPERTIES[[#This Row],[TE_STARTING_KN]]/(PROPERTIES[[#This Row],[WEIGHT]]*9.81),0)</f>
        <v>0</v>
      </c>
      <c r="U54" s="25">
        <v>0.2</v>
      </c>
      <c r="V54" s="22">
        <f>ROUND(IF(IFERROR(PROPERTIES[[#This Row],[TE_COEFFICIENT_CALC]],0)=0,PROPERTIES[[#This Row],[TE_COEFFICIENT_MANUAL]],PROPERTIES[[#This Row],[TE_COEFFICIENT_CALC]]),3)</f>
        <v>0.2</v>
      </c>
      <c r="W54" s="10" cm="1">
        <f t="array" ref="W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" s="32">
        <v>0</v>
      </c>
      <c r="Y54" s="8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8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9" t="b">
        <v>0</v>
      </c>
      <c r="AY54"/>
      <c r="AZ54"/>
      <c r="BA54"/>
    </row>
    <row r="55" spans="1:53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t="s">
        <v>1806</v>
      </c>
      <c r="F55" t="str">
        <f>_xlfn.XLOOKUP(PROPERTIES[[#This Row],[COUNTRY]],COUNTRIES[COUNTRY_DESCRIPTION],COUNTRIES[COUNTRY_LABEL],"")</f>
        <v>IT</v>
      </c>
      <c r="G55" t="str" cm="1">
        <f t="array" ref="G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" t="s">
        <v>17</v>
      </c>
      <c r="I55">
        <v>84</v>
      </c>
      <c r="J55">
        <v>8</v>
      </c>
      <c r="K55">
        <v>8</v>
      </c>
      <c r="L55" t="str" cm="1">
        <f t="array" ref="L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">
        <f>_xlfn.XLOOKUP("LOADINGSPEEDDEF_"&amp;PROPERTIES[[#This Row],[LOADINGSPEED]],LOADINGSPEEDDEF[TYPE],LOADINGSPEEDDEF[SPEED])</f>
        <v>40</v>
      </c>
      <c r="N55" cm="1">
        <f t="array" ref="N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">
        <f>IF(ISNUMBER(SEARCH("passenger",PROPERTIES[[#This Row],[CARGODEF]])),1,0)</f>
        <v>1</v>
      </c>
      <c r="P55" s="29">
        <v>58</v>
      </c>
      <c r="Q55">
        <v>800</v>
      </c>
      <c r="R55">
        <v>150</v>
      </c>
      <c r="S55" s="26">
        <v>0</v>
      </c>
      <c r="T55" s="25">
        <f>IFERROR(PROPERTIES[[#This Row],[TE_STARTING_KN]]/(PROPERTIES[[#This Row],[WEIGHT]]*9.81),0)</f>
        <v>0</v>
      </c>
      <c r="U55" s="25">
        <v>0.21</v>
      </c>
      <c r="V55" s="22">
        <f>ROUND(IF(IFERROR(PROPERTIES[[#This Row],[TE_COEFFICIENT_CALC]],0)=0,PROPERTIES[[#This Row],[TE_COEFFICIENT_MANUAL]],PROPERTIES[[#This Row],[TE_COEFFICIENT_CALC]]),3)</f>
        <v>0.21</v>
      </c>
      <c r="W55" s="10" cm="1">
        <f t="array" ref="W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5" s="32">
        <v>0</v>
      </c>
      <c r="Y55" s="8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8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9" t="b">
        <v>0</v>
      </c>
      <c r="AY55"/>
      <c r="AZ55"/>
      <c r="BA55"/>
    </row>
    <row r="56" spans="1:53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t="s">
        <v>1806</v>
      </c>
      <c r="F56" t="str">
        <f>_xlfn.XLOOKUP(PROPERTIES[[#This Row],[COUNTRY]],COUNTRIES[COUNTRY_DESCRIPTION],COUNTRIES[COUNTRY_LABEL],"")</f>
        <v>IT</v>
      </c>
      <c r="G56" t="str" cm="1">
        <f t="array" ref="G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" t="s">
        <v>17</v>
      </c>
      <c r="I56">
        <v>80</v>
      </c>
      <c r="J56">
        <v>7</v>
      </c>
      <c r="K56">
        <v>7</v>
      </c>
      <c r="L56" t="str" cm="1">
        <f t="array" ref="L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6">
        <f>_xlfn.XLOOKUP("LOADINGSPEEDDEF_"&amp;PROPERTIES[[#This Row],[LOADINGSPEED]],LOADINGSPEEDDEF[TYPE],LOADINGSPEEDDEF[SPEED])</f>
        <v>40</v>
      </c>
      <c r="N56" cm="1">
        <f t="array" ref="N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">
        <f>IF(ISNUMBER(SEARCH("passenger",PROPERTIES[[#This Row],[CARGODEF]])),1,0)</f>
        <v>1</v>
      </c>
      <c r="P56" s="29">
        <v>49</v>
      </c>
      <c r="Q56">
        <v>770</v>
      </c>
      <c r="R56">
        <v>110</v>
      </c>
      <c r="S56" s="26">
        <v>0</v>
      </c>
      <c r="T56" s="25">
        <f>IFERROR(PROPERTIES[[#This Row],[TE_STARTING_KN]]/(PROPERTIES[[#This Row],[WEIGHT]]*9.81),0)</f>
        <v>0</v>
      </c>
      <c r="U56" s="25">
        <v>0.17</v>
      </c>
      <c r="V56" s="22">
        <f>ROUND(IF(IFERROR(PROPERTIES[[#This Row],[TE_COEFFICIENT_CALC]],0)=0,PROPERTIES[[#This Row],[TE_COEFFICIENT_MANUAL]],PROPERTIES[[#This Row],[TE_COEFFICIENT_CALC]]),3)</f>
        <v>0.17</v>
      </c>
      <c r="W56" s="10" cm="1">
        <f t="array" ref="W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" s="32">
        <v>0</v>
      </c>
      <c r="Y56" s="8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8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9" t="b">
        <v>0</v>
      </c>
      <c r="AY56"/>
      <c r="AZ56"/>
      <c r="BA56"/>
    </row>
    <row r="57" spans="1:53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t="s">
        <v>1806</v>
      </c>
      <c r="F57" t="str">
        <f>_xlfn.XLOOKUP(PROPERTIES[[#This Row],[COUNTRY]],COUNTRIES[COUNTRY_DESCRIPTION],COUNTRIES[COUNTRY_LABEL],"")</f>
        <v>IT</v>
      </c>
      <c r="G57" t="str" cm="1">
        <f t="array" ref="G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7" t="s">
        <v>17</v>
      </c>
      <c r="I57">
        <v>54</v>
      </c>
      <c r="J57">
        <v>8</v>
      </c>
      <c r="K57">
        <v>8</v>
      </c>
      <c r="L57" t="str" cm="1">
        <f t="array" ref="L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7">
        <f>_xlfn.XLOOKUP("LOADINGSPEEDDEF_"&amp;PROPERTIES[[#This Row],[LOADINGSPEED]],LOADINGSPEEDDEF[TYPE],LOADINGSPEEDDEF[SPEED])</f>
        <v>40</v>
      </c>
      <c r="N57" cm="1">
        <f t="array" ref="N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7">
        <f>IF(ISNUMBER(SEARCH("passenger",PROPERTIES[[#This Row],[CARGODEF]])),1,0)</f>
        <v>1</v>
      </c>
      <c r="P57" s="29">
        <v>66</v>
      </c>
      <c r="Q57">
        <v>965</v>
      </c>
      <c r="R57">
        <v>110</v>
      </c>
      <c r="S57" s="26">
        <v>0</v>
      </c>
      <c r="T57" s="25">
        <f>IFERROR(PROPERTIES[[#This Row],[TE_STARTING_KN]]/(PROPERTIES[[#This Row],[WEIGHT]]*9.81),0)</f>
        <v>0</v>
      </c>
      <c r="U57" s="25">
        <v>0.08</v>
      </c>
      <c r="V57" s="22">
        <f>ROUND(IF(IFERROR(PROPERTIES[[#This Row],[TE_COEFFICIENT_CALC]],0)=0,PROPERTIES[[#This Row],[TE_COEFFICIENT_MANUAL]],PROPERTIES[[#This Row],[TE_COEFFICIENT_CALC]]),3)</f>
        <v>0.08</v>
      </c>
      <c r="W57" s="10" cm="1">
        <f t="array" ref="W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57" s="32">
        <v>0</v>
      </c>
      <c r="Y57" s="8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8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9" t="b">
        <v>0</v>
      </c>
      <c r="AY57"/>
      <c r="AZ57"/>
      <c r="BA57"/>
    </row>
    <row r="58" spans="1:53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t="s">
        <v>1833</v>
      </c>
      <c r="F58" t="str">
        <f>_xlfn.XLOOKUP(PROPERTIES[[#This Row],[COUNTRY]],COUNTRIES[COUNTRY_DESCRIPTION],COUNTRIES[COUNTRY_LABEL],"")</f>
        <v>MA</v>
      </c>
      <c r="G58" t="str" cm="1">
        <f t="array" ref="G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8" t="s">
        <v>17</v>
      </c>
      <c r="I58">
        <v>44</v>
      </c>
      <c r="J58">
        <v>8</v>
      </c>
      <c r="K58">
        <v>8</v>
      </c>
      <c r="L58" t="str" cm="1">
        <f t="array" ref="L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">
        <f>_xlfn.XLOOKUP("LOADINGSPEEDDEF_"&amp;PROPERTIES[[#This Row],[LOADINGSPEED]],LOADINGSPEEDDEF[TYPE],LOADINGSPEEDDEF[SPEED])</f>
        <v>40</v>
      </c>
      <c r="N58" cm="1">
        <f t="array" ref="N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">
        <f>IF(ISNUMBER(SEARCH("passenger",PROPERTIES[[#This Row],[CARGODEF]])),1,0)</f>
        <v>1</v>
      </c>
      <c r="P58" s="29">
        <v>40</v>
      </c>
      <c r="Q58">
        <v>480</v>
      </c>
      <c r="R58">
        <v>85</v>
      </c>
      <c r="S58" s="26">
        <v>0</v>
      </c>
      <c r="T58" s="25">
        <f>IFERROR(PROPERTIES[[#This Row],[TE_STARTING_KN]]/(PROPERTIES[[#This Row],[WEIGHT]]*9.81),0)</f>
        <v>0</v>
      </c>
      <c r="U58" s="25">
        <v>0.13</v>
      </c>
      <c r="V58" s="22">
        <f>ROUND(IF(IFERROR(PROPERTIES[[#This Row],[TE_COEFFICIENT_CALC]],0)=0,PROPERTIES[[#This Row],[TE_COEFFICIENT_MANUAL]],PROPERTIES[[#This Row],[TE_COEFFICIENT_CALC]]),3)</f>
        <v>0.13</v>
      </c>
      <c r="W58" s="10" cm="1">
        <f t="array" ref="W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8" s="32">
        <v>0</v>
      </c>
      <c r="Y58" s="8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8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9" t="b">
        <v>0</v>
      </c>
      <c r="AY58"/>
      <c r="AZ58"/>
      <c r="BA58"/>
    </row>
    <row r="59" spans="1:53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t="s">
        <v>1875</v>
      </c>
      <c r="F59" t="str">
        <f>_xlfn.XLOOKUP(PROPERTIES[[#This Row],[COUNTRY]],COUNTRIES[COUNTRY_DESCRIPTION],COUNTRIES[COUNTRY_LABEL],"")</f>
        <v>PL</v>
      </c>
      <c r="G59" t="str" cm="1">
        <f t="array" ref="G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" t="s">
        <v>17</v>
      </c>
      <c r="I59">
        <v>140</v>
      </c>
      <c r="J59">
        <v>8</v>
      </c>
      <c r="K59">
        <v>8</v>
      </c>
      <c r="L59" t="str" cm="1">
        <f t="array" ref="L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">
        <f>_xlfn.XLOOKUP("LOADINGSPEEDDEF_"&amp;PROPERTIES[[#This Row],[LOADINGSPEED]],LOADINGSPEEDDEF[TYPE],LOADINGSPEEDDEF[SPEED])</f>
        <v>40</v>
      </c>
      <c r="N59" t="str" cm="1">
        <f t="array" ref="N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">
        <f>IF(ISNUMBER(SEARCH("passenger",PROPERTIES[[#This Row],[CARGODEF]])),1,0)</f>
        <v>1</v>
      </c>
      <c r="P59" s="29">
        <v>53</v>
      </c>
      <c r="Q59">
        <v>750</v>
      </c>
      <c r="R59">
        <v>120</v>
      </c>
      <c r="S59" s="26">
        <v>0</v>
      </c>
      <c r="T59" s="25">
        <f>IFERROR(PROPERTIES[[#This Row],[TE_STARTING_KN]]/(PROPERTIES[[#This Row],[WEIGHT]]*9.81),0)</f>
        <v>0</v>
      </c>
      <c r="U59" s="25">
        <v>0.08</v>
      </c>
      <c r="V59" s="22">
        <f>ROUND(IF(IFERROR(PROPERTIES[[#This Row],[TE_COEFFICIENT_CALC]],0)=0,PROPERTIES[[#This Row],[TE_COEFFICIENT_MANUAL]],PROPERTIES[[#This Row],[TE_COEFFICIENT_CALC]]),3)</f>
        <v>0.08</v>
      </c>
      <c r="W59" s="10" cm="1">
        <f t="array" ref="W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9" s="32">
        <v>0</v>
      </c>
      <c r="Y59" s="8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8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9" t="b">
        <v>0</v>
      </c>
      <c r="AY59"/>
      <c r="AZ59"/>
      <c r="BA59"/>
    </row>
    <row r="60" spans="1:53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t="s">
        <v>1709</v>
      </c>
      <c r="F60" t="str">
        <f>_xlfn.XLOOKUP(PROPERTIES[[#This Row],[COUNTRY]],COUNTRIES[COUNTRY_DESCRIPTION],COUNTRIES[COUNTRY_LABEL],"")</f>
        <v>AT</v>
      </c>
      <c r="G60" t="str" cm="1">
        <f t="array" ref="G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" t="s">
        <v>17</v>
      </c>
      <c r="I60">
        <f>64+62</f>
        <v>126</v>
      </c>
      <c r="J60">
        <v>8</v>
      </c>
      <c r="K60">
        <v>8</v>
      </c>
      <c r="L60" t="str" cm="1">
        <f t="array" ref="L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0">
        <f>_xlfn.XLOOKUP("LOADINGSPEEDDEF_"&amp;PROPERTIES[[#This Row],[LOADINGSPEED]],LOADINGSPEEDDEF[TYPE],LOADINGSPEEDDEF[SPEED])</f>
        <v>40</v>
      </c>
      <c r="N60" t="str" cm="1">
        <f t="array" ref="N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">
        <f>IF(ISNUMBER(SEARCH("passenger",PROPERTIES[[#This Row],[CARGODEF]])),1,0)</f>
        <v>1</v>
      </c>
      <c r="P60" s="29">
        <v>42</v>
      </c>
      <c r="Q60">
        <v>643</v>
      </c>
      <c r="R60">
        <v>120</v>
      </c>
      <c r="S60" s="26">
        <v>0</v>
      </c>
      <c r="T60" s="25">
        <f>IFERROR(PROPERTIES[[#This Row],[TE_STARTING_KN]]/(PROPERTIES[[#This Row],[WEIGHT]]*9.81),0)</f>
        <v>0</v>
      </c>
      <c r="U60" s="25">
        <v>0.21</v>
      </c>
      <c r="V60" s="22">
        <f>ROUND(IF(IFERROR(PROPERTIES[[#This Row],[TE_COEFFICIENT_CALC]],0)=0,PROPERTIES[[#This Row],[TE_COEFFICIENT_MANUAL]],PROPERTIES[[#This Row],[TE_COEFFICIENT_CALC]]),3)</f>
        <v>0.21</v>
      </c>
      <c r="W60" s="10" cm="1">
        <f t="array" ref="W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" s="32">
        <v>0</v>
      </c>
      <c r="Y60" s="8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8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9" t="b">
        <v>0</v>
      </c>
      <c r="AY60"/>
      <c r="AZ60"/>
      <c r="BA60"/>
    </row>
    <row r="61" spans="1:53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t="s">
        <v>1709</v>
      </c>
      <c r="F61" t="str">
        <f>_xlfn.XLOOKUP(PROPERTIES[[#This Row],[COUNTRY]],COUNTRIES[COUNTRY_DESCRIPTION],COUNTRIES[COUNTRY_LABEL],"")</f>
        <v>AT</v>
      </c>
      <c r="G61" t="str" cm="1">
        <f t="array" ref="G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" t="s">
        <v>17</v>
      </c>
      <c r="I61">
        <v>150</v>
      </c>
      <c r="J61">
        <v>8</v>
      </c>
      <c r="K61">
        <v>8</v>
      </c>
      <c r="L61" t="str" cm="1">
        <f t="array" ref="L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">
        <f>_xlfn.XLOOKUP("LOADINGSPEEDDEF_"&amp;PROPERTIES[[#This Row],[LOADINGSPEED]],LOADINGSPEEDDEF[TYPE],LOADINGSPEEDDEF[SPEED])</f>
        <v>40</v>
      </c>
      <c r="N61" t="str" cm="1">
        <f t="array" ref="N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">
        <f>IF(ISNUMBER(SEARCH("passenger",PROPERTIES[[#This Row],[CARGODEF]])),1,0)</f>
        <v>1</v>
      </c>
      <c r="P61" s="29">
        <v>52</v>
      </c>
      <c r="Q61">
        <v>1475</v>
      </c>
      <c r="R61">
        <v>90</v>
      </c>
      <c r="S61" s="26">
        <v>0</v>
      </c>
      <c r="T61" s="25">
        <f>IFERROR(PROPERTIES[[#This Row],[TE_STARTING_KN]]/(PROPERTIES[[#This Row],[WEIGHT]]*9.81),0)</f>
        <v>0</v>
      </c>
      <c r="U61" s="25">
        <v>0.28999999999999998</v>
      </c>
      <c r="V61" s="22">
        <f>ROUND(IF(IFERROR(PROPERTIES[[#This Row],[TE_COEFFICIENT_CALC]],0)=0,PROPERTIES[[#This Row],[TE_COEFFICIENT_MANUAL]],PROPERTIES[[#This Row],[TE_COEFFICIENT_CALC]]),3)</f>
        <v>0.28999999999999998</v>
      </c>
      <c r="W61" s="10" cm="1">
        <f t="array" ref="W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" s="32">
        <v>0</v>
      </c>
      <c r="Y61" s="8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8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9" t="b">
        <v>0</v>
      </c>
      <c r="AY61"/>
      <c r="AZ61"/>
      <c r="BA61"/>
    </row>
    <row r="62" spans="1:53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t="s">
        <v>1754</v>
      </c>
      <c r="F62" t="str">
        <f>_xlfn.XLOOKUP(PROPERTIES[[#This Row],[COUNTRY]],COUNTRIES[COUNTRY_DESCRIPTION],COUNTRIES[COUNTRY_LABEL],"")</f>
        <v>DE</v>
      </c>
      <c r="G62" t="str" cm="1">
        <f t="array" ref="G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" t="s">
        <v>17</v>
      </c>
      <c r="I62">
        <v>75</v>
      </c>
      <c r="J62">
        <v>8</v>
      </c>
      <c r="K62">
        <v>8</v>
      </c>
      <c r="L62" t="str" cm="1">
        <f t="array" ref="L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">
        <f>_xlfn.XLOOKUP("LOADINGSPEEDDEF_"&amp;PROPERTIES[[#This Row],[LOADINGSPEED]],LOADINGSPEEDDEF[TYPE],LOADINGSPEEDDEF[SPEED])</f>
        <v>40</v>
      </c>
      <c r="N62" cm="1">
        <f t="array" ref="N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">
        <f>IF(ISNUMBER(SEARCH("passenger",PROPERTIES[[#This Row],[CARGODEF]])),1,0)</f>
        <v>1</v>
      </c>
      <c r="P62" s="29">
        <v>61</v>
      </c>
      <c r="Q62">
        <v>740</v>
      </c>
      <c r="R62">
        <v>75</v>
      </c>
      <c r="S62" s="26">
        <v>0</v>
      </c>
      <c r="T62" s="25">
        <f>IFERROR(PROPERTIES[[#This Row],[TE_STARTING_KN]]/(PROPERTIES[[#This Row],[WEIGHT]]*9.81),0)</f>
        <v>0</v>
      </c>
      <c r="U62" s="25">
        <v>0.16</v>
      </c>
      <c r="V62" s="22">
        <f>ROUND(IF(IFERROR(PROPERTIES[[#This Row],[TE_COEFFICIENT_CALC]],0)=0,PROPERTIES[[#This Row],[TE_COEFFICIENT_MANUAL]],PROPERTIES[[#This Row],[TE_COEFFICIENT_CALC]]),3)</f>
        <v>0.16</v>
      </c>
      <c r="W62" s="10" cm="1">
        <f t="array" ref="W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62" s="32">
        <v>0</v>
      </c>
      <c r="Y62" s="8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8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9" t="b">
        <v>0</v>
      </c>
      <c r="AY62"/>
      <c r="AZ62"/>
      <c r="BA62"/>
    </row>
    <row r="63" spans="1:53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t="s">
        <v>1893</v>
      </c>
      <c r="F63" t="str">
        <f>_xlfn.XLOOKUP(PROPERTIES[[#This Row],[COUNTRY]],COUNTRIES[COUNTRY_DESCRIPTION],COUNTRIES[COUNTRY_LABEL],"")</f>
        <v>SE</v>
      </c>
      <c r="G63" t="str" cm="1">
        <f t="array" ref="G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" t="s">
        <v>17</v>
      </c>
      <c r="I63">
        <v>90</v>
      </c>
      <c r="J63">
        <v>6</v>
      </c>
      <c r="K63">
        <v>6</v>
      </c>
      <c r="L63" t="str" cm="1">
        <f t="array" ref="L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3">
        <f>_xlfn.XLOOKUP("LOADINGSPEEDDEF_"&amp;PROPERTIES[[#This Row],[LOADINGSPEED]],LOADINGSPEEDDEF[TYPE],LOADINGSPEEDDEF[SPEED])</f>
        <v>40</v>
      </c>
      <c r="N63" cm="1">
        <f t="array" ref="N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">
        <f>IF(ISNUMBER(SEARCH("passenger",PROPERTIES[[#This Row],[CARGODEF]])),1,0)</f>
        <v>1</v>
      </c>
      <c r="P63" s="29">
        <v>21</v>
      </c>
      <c r="Q63">
        <v>230</v>
      </c>
      <c r="R63">
        <v>110</v>
      </c>
      <c r="S63" s="26">
        <v>15</v>
      </c>
      <c r="T63" s="25">
        <f>IFERROR(PROPERTIES[[#This Row],[TE_STARTING_KN]]/(PROPERTIES[[#This Row],[WEIGHT]]*9.81),0)</f>
        <v>7.2811999417503992E-2</v>
      </c>
      <c r="U63" s="25">
        <v>0.34</v>
      </c>
      <c r="V63" s="22">
        <f>ROUND(IF(IFERROR(PROPERTIES[[#This Row],[TE_COEFFICIENT_CALC]],0)=0,PROPERTIES[[#This Row],[TE_COEFFICIENT_MANUAL]],PROPERTIES[[#This Row],[TE_COEFFICIENT_CALC]]),3)</f>
        <v>7.2999999999999995E-2</v>
      </c>
      <c r="W63" s="10" cm="1">
        <f t="array" ref="W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" s="32">
        <v>0</v>
      </c>
      <c r="Y63" s="8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8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9" t="b">
        <v>0</v>
      </c>
      <c r="AY63"/>
      <c r="AZ63"/>
      <c r="BA63"/>
    </row>
    <row r="64" spans="1:53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t="s">
        <v>1928</v>
      </c>
      <c r="F64" t="str">
        <f>_xlfn.XLOOKUP(PROPERTIES[[#This Row],[COUNTRY]],COUNTRIES[COUNTRY_DESCRIPTION],COUNTRIES[COUNTRY_LABEL],"")</f>
        <v>US</v>
      </c>
      <c r="G64" t="str" cm="1">
        <f t="array" ref="G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" t="s">
        <v>17</v>
      </c>
      <c r="I64">
        <v>124</v>
      </c>
      <c r="J64">
        <v>8</v>
      </c>
      <c r="K64">
        <v>8</v>
      </c>
      <c r="L64" t="str" cm="1">
        <f t="array" ref="L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">
        <f>_xlfn.XLOOKUP("LOADINGSPEEDDEF_"&amp;PROPERTIES[[#This Row],[LOADINGSPEED]],LOADINGSPEEDDEF[TYPE],LOADINGSPEEDDEF[SPEED])</f>
        <v>40</v>
      </c>
      <c r="N64" cm="1">
        <f t="array" ref="N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">
        <f>IF(ISNUMBER(SEARCH("passenger",PROPERTIES[[#This Row],[CARGODEF]])),1,0)</f>
        <v>1</v>
      </c>
      <c r="P64" s="29">
        <v>46</v>
      </c>
      <c r="Q64">
        <v>550</v>
      </c>
      <c r="R64">
        <v>137</v>
      </c>
      <c r="S64" s="26">
        <v>0</v>
      </c>
      <c r="T64" s="25">
        <f>IFERROR(PROPERTIES[[#This Row],[TE_STARTING_KN]]/(PROPERTIES[[#This Row],[WEIGHT]]*9.81),0)</f>
        <v>0</v>
      </c>
      <c r="U64" s="25">
        <v>0.18</v>
      </c>
      <c r="V64" s="22">
        <f>ROUND(IF(IFERROR(PROPERTIES[[#This Row],[TE_COEFFICIENT_CALC]],0)=0,PROPERTIES[[#This Row],[TE_COEFFICIENT_MANUAL]],PROPERTIES[[#This Row],[TE_COEFFICIENT_CALC]]),3)</f>
        <v>0.18</v>
      </c>
      <c r="W64" s="10" cm="1">
        <f t="array" ref="W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64" s="32">
        <v>0</v>
      </c>
      <c r="Y64" s="8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8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9" t="b">
        <v>0</v>
      </c>
      <c r="AY64"/>
      <c r="AZ64"/>
      <c r="BA64"/>
    </row>
    <row r="65" spans="1:53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t="s">
        <v>1928</v>
      </c>
      <c r="F65" t="str">
        <f>_xlfn.XLOOKUP(PROPERTIES[[#This Row],[COUNTRY]],COUNTRIES[COUNTRY_DESCRIPTION],COUNTRIES[COUNTRY_LABEL],"")</f>
        <v>US</v>
      </c>
      <c r="G65" t="str" cm="1">
        <f t="array" ref="G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" t="s">
        <v>17</v>
      </c>
      <c r="I65">
        <v>110</v>
      </c>
      <c r="J65">
        <v>8</v>
      </c>
      <c r="K65">
        <v>8</v>
      </c>
      <c r="L65" t="str" cm="1">
        <f t="array" ref="L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5">
        <f>_xlfn.XLOOKUP("LOADINGSPEEDDEF_"&amp;PROPERTIES[[#This Row],[LOADINGSPEED]],LOADINGSPEEDDEF[TYPE],LOADINGSPEEDDEF[SPEED])</f>
        <v>16</v>
      </c>
      <c r="N65" t="str" cm="1">
        <f t="array" ref="N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">
        <f>IF(ISNUMBER(SEARCH("passenger",PROPERTIES[[#This Row],[CARGODEF]])),1,0)</f>
        <v>1</v>
      </c>
      <c r="P65" s="29">
        <v>66</v>
      </c>
      <c r="Q65">
        <v>680</v>
      </c>
      <c r="R65">
        <v>180</v>
      </c>
      <c r="S65" s="26">
        <v>0</v>
      </c>
      <c r="T65" s="25">
        <f>IFERROR(PROPERTIES[[#This Row],[TE_STARTING_KN]]/(PROPERTIES[[#This Row],[WEIGHT]]*9.81),0)</f>
        <v>0</v>
      </c>
      <c r="U65" s="25">
        <v>0.17</v>
      </c>
      <c r="V65" s="22">
        <f>ROUND(IF(IFERROR(PROPERTIES[[#This Row],[TE_COEFFICIENT_CALC]],0)=0,PROPERTIES[[#This Row],[TE_COEFFICIENT_MANUAL]],PROPERTIES[[#This Row],[TE_COEFFICIENT_CALC]]),3)</f>
        <v>0.17</v>
      </c>
      <c r="W65" s="10" cm="1">
        <f t="array" ref="W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5" s="32">
        <v>0</v>
      </c>
      <c r="Y65" s="8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8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9" t="b">
        <v>0</v>
      </c>
      <c r="AY65"/>
      <c r="AZ65"/>
      <c r="BA65"/>
    </row>
    <row r="66" spans="1:53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t="s">
        <v>1717</v>
      </c>
      <c r="F66" t="str">
        <f>_xlfn.XLOOKUP(PROPERTIES[[#This Row],[COUNTRY]],COUNTRIES[COUNTRY_DESCRIPTION],COUNTRIES[COUNTRY_LABEL],"")</f>
        <v>BE</v>
      </c>
      <c r="G66" t="str" cm="1">
        <f t="array" ref="G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6" t="s">
        <v>19</v>
      </c>
      <c r="I66">
        <v>0</v>
      </c>
      <c r="J66">
        <v>7</v>
      </c>
      <c r="K66">
        <v>7</v>
      </c>
      <c r="L66" t="str" cm="1">
        <f t="array" ref="L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">
        <f>_xlfn.XLOOKUP("LOADINGSPEEDDEF_"&amp;PROPERTIES[[#This Row],[LOADINGSPEED]],LOADINGSPEEDDEF[TYPE],LOADINGSPEEDDEF[SPEED])</f>
        <v>20</v>
      </c>
      <c r="N66" cm="1">
        <f t="array" ref="N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6">
        <f>IF(ISNUMBER(SEARCH("passenger",PROPERTIES[[#This Row],[CARGODEF]])),1,0)</f>
        <v>0</v>
      </c>
      <c r="P66" s="29">
        <v>16</v>
      </c>
      <c r="Q66">
        <v>50</v>
      </c>
      <c r="R66">
        <v>35</v>
      </c>
      <c r="S66" s="26">
        <v>0</v>
      </c>
      <c r="T66" s="25">
        <f>IFERROR(PROPERTIES[[#This Row],[TE_STARTING_KN]]/(PROPERTIES[[#This Row],[WEIGHT]]*9.81),0)</f>
        <v>0</v>
      </c>
      <c r="U66" s="25">
        <v>0.09</v>
      </c>
      <c r="V66" s="22">
        <f>ROUND(IF(IFERROR(PROPERTIES[[#This Row],[TE_COEFFICIENT_CALC]],0)=0,PROPERTIES[[#This Row],[TE_COEFFICIENT_MANUAL]],PROPERTIES[[#This Row],[TE_COEFFICIENT_CALC]]),3)</f>
        <v>0.09</v>
      </c>
      <c r="W66" s="10" cm="1">
        <f t="array" ref="W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66" s="32">
        <v>0</v>
      </c>
      <c r="Y66" s="8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8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9" t="b">
        <v>0</v>
      </c>
      <c r="AY66"/>
      <c r="AZ66"/>
      <c r="BA66"/>
    </row>
    <row r="67" spans="1:53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t="s">
        <v>1928</v>
      </c>
      <c r="F67" t="str">
        <f>_xlfn.XLOOKUP(PROPERTIES[[#This Row],[COUNTRY]],COUNTRIES[COUNTRY_DESCRIPTION],COUNTRIES[COUNTRY_LABEL],"")</f>
        <v>US</v>
      </c>
      <c r="G67" t="str" cm="1">
        <f t="array" ref="G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7" t="s">
        <v>19</v>
      </c>
      <c r="I67">
        <v>0</v>
      </c>
      <c r="J67">
        <v>6</v>
      </c>
      <c r="K67">
        <v>10</v>
      </c>
      <c r="L67" t="str" cm="1">
        <f t="array" ref="L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">
        <f>_xlfn.XLOOKUP("LOADINGSPEEDDEF_"&amp;PROPERTIES[[#This Row],[LOADINGSPEED]],LOADINGSPEEDDEF[TYPE],LOADINGSPEEDDEF[SPEED])</f>
        <v>20</v>
      </c>
      <c r="N67" cm="1">
        <f t="array" ref="N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7">
        <f>IF(ISNUMBER(SEARCH("passenger",PROPERTIES[[#This Row],[CARGODEF]])),1,0)</f>
        <v>0</v>
      </c>
      <c r="P67" s="29">
        <v>45</v>
      </c>
      <c r="Q67">
        <v>650</v>
      </c>
      <c r="R67">
        <v>96</v>
      </c>
      <c r="S67" s="26">
        <v>0</v>
      </c>
      <c r="T67" s="25">
        <f>IFERROR(PROPERTIES[[#This Row],[TE_STARTING_KN]]/(PROPERTIES[[#This Row],[WEIGHT]]*9.81),0)</f>
        <v>0</v>
      </c>
      <c r="U67" s="25">
        <v>0.18</v>
      </c>
      <c r="V67" s="22">
        <f>ROUND(IF(IFERROR(PROPERTIES[[#This Row],[TE_COEFFICIENT_CALC]],0)=0,PROPERTIES[[#This Row],[TE_COEFFICIENT_MANUAL]],PROPERTIES[[#This Row],[TE_COEFFICIENT_CALC]]),3)</f>
        <v>0.18</v>
      </c>
      <c r="W67" s="10" cm="1">
        <f t="array" ref="W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7" s="32">
        <v>0</v>
      </c>
      <c r="Y67" s="8">
        <v>4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8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9" t="b">
        <v>0</v>
      </c>
      <c r="AY67"/>
      <c r="AZ67"/>
      <c r="BA67"/>
    </row>
    <row r="68" spans="1:53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t="s">
        <v>1740</v>
      </c>
      <c r="F68" t="str">
        <f>_xlfn.XLOOKUP(PROPERTIES[[#This Row],[COUNTRY]],COUNTRIES[COUNTRY_DESCRIPTION],COUNTRIES[COUNTRY_LABEL],"")</f>
        <v>CH</v>
      </c>
      <c r="G68" t="str" cm="1">
        <f t="array" ref="G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8" t="s">
        <v>19</v>
      </c>
      <c r="I68">
        <v>0</v>
      </c>
      <c r="J68">
        <v>5</v>
      </c>
      <c r="K68">
        <v>5</v>
      </c>
      <c r="L68" t="str" cm="1">
        <f t="array" ref="L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">
        <f>_xlfn.XLOOKUP("LOADINGSPEEDDEF_"&amp;PROPERTIES[[#This Row],[LOADINGSPEED]],LOADINGSPEEDDEF[TYPE],LOADINGSPEEDDEF[SPEED])</f>
        <v>20</v>
      </c>
      <c r="N68" cm="1">
        <f t="array" ref="N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8">
        <f>IF(ISNUMBER(SEARCH("passenger",PROPERTIES[[#This Row],[CARGODEF]])),1,0)</f>
        <v>0</v>
      </c>
      <c r="P68" s="29">
        <v>45</v>
      </c>
      <c r="Q68">
        <v>400</v>
      </c>
      <c r="R68">
        <v>60</v>
      </c>
      <c r="S68" s="26">
        <v>0</v>
      </c>
      <c r="T68" s="25">
        <f>IFERROR(PROPERTIES[[#This Row],[TE_STARTING_KN]]/(PROPERTIES[[#This Row],[WEIGHT]]*9.81),0)</f>
        <v>0</v>
      </c>
      <c r="U68" s="25">
        <v>0.2</v>
      </c>
      <c r="V68" s="22">
        <f>ROUND(IF(IFERROR(PROPERTIES[[#This Row],[TE_COEFFICIENT_CALC]],0)=0,PROPERTIES[[#This Row],[TE_COEFFICIENT_MANUAL]],PROPERTIES[[#This Row],[TE_COEFFICIENT_CALC]]),3)</f>
        <v>0.2</v>
      </c>
      <c r="W68" s="10" cm="1">
        <f t="array" ref="W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8" s="32">
        <v>0</v>
      </c>
      <c r="Y68" s="8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8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9" t="b">
        <v>0</v>
      </c>
      <c r="AY68"/>
      <c r="AZ68"/>
      <c r="BA68"/>
    </row>
    <row r="69" spans="1:53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t="s">
        <v>1928</v>
      </c>
      <c r="F69" t="str">
        <f>_xlfn.XLOOKUP(PROPERTIES[[#This Row],[COUNTRY]],COUNTRIES[COUNTRY_DESCRIPTION],COUNTRIES[COUNTRY_LABEL],"")</f>
        <v>US</v>
      </c>
      <c r="G69" t="str" cm="1">
        <f t="array" ref="G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9" t="s">
        <v>19</v>
      </c>
      <c r="I69">
        <v>0</v>
      </c>
      <c r="J69">
        <v>7</v>
      </c>
      <c r="K69">
        <v>11</v>
      </c>
      <c r="L69" t="str" cm="1">
        <f t="array" ref="L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">
        <f>_xlfn.XLOOKUP("LOADINGSPEEDDEF_"&amp;PROPERTIES[[#This Row],[LOADINGSPEED]],LOADINGSPEEDDEF[TYPE],LOADINGSPEEDDEF[SPEED])</f>
        <v>20</v>
      </c>
      <c r="N69" cm="1">
        <f t="array" ref="N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9">
        <f>IF(ISNUMBER(SEARCH("passenger",PROPERTIES[[#This Row],[CARGODEF]])),1,0)</f>
        <v>0</v>
      </c>
      <c r="P69" s="29">
        <v>85</v>
      </c>
      <c r="Q69">
        <v>1200</v>
      </c>
      <c r="R69">
        <v>110</v>
      </c>
      <c r="S69" s="26">
        <v>0</v>
      </c>
      <c r="T69" s="25">
        <f>IFERROR(PROPERTIES[[#This Row],[TE_STARTING_KN]]/(PROPERTIES[[#This Row],[WEIGHT]]*9.81),0)</f>
        <v>0</v>
      </c>
      <c r="U69" s="25">
        <v>0.2</v>
      </c>
      <c r="V69" s="22">
        <f>ROUND(IF(IFERROR(PROPERTIES[[#This Row],[TE_COEFFICIENT_CALC]],0)=0,PROPERTIES[[#This Row],[TE_COEFFICIENT_MANUAL]],PROPERTIES[[#This Row],[TE_COEFFICIENT_CALC]]),3)</f>
        <v>0.2</v>
      </c>
      <c r="W69" s="10" cm="1">
        <f t="array" ref="W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9" s="32">
        <v>0</v>
      </c>
      <c r="Y69" s="8">
        <v>4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8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9" t="b">
        <v>0</v>
      </c>
      <c r="AY69"/>
      <c r="AZ69"/>
      <c r="BA69"/>
    </row>
    <row r="70" spans="1:53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t="s">
        <v>1928</v>
      </c>
      <c r="F70" t="str">
        <f>_xlfn.XLOOKUP(PROPERTIES[[#This Row],[COUNTRY]],COUNTRIES[COUNTRY_DESCRIPTION],COUNTRIES[COUNTRY_LABEL],"")</f>
        <v>US</v>
      </c>
      <c r="G70" t="str" cm="1">
        <f t="array" ref="G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0" t="s">
        <v>19</v>
      </c>
      <c r="I70">
        <v>0</v>
      </c>
      <c r="J70">
        <v>8</v>
      </c>
      <c r="K70">
        <v>13</v>
      </c>
      <c r="L70" t="str" cm="1">
        <f t="array" ref="L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">
        <f>_xlfn.XLOOKUP("LOADINGSPEEDDEF_"&amp;PROPERTIES[[#This Row],[LOADINGSPEED]],LOADINGSPEEDDEF[TYPE],LOADINGSPEEDDEF[SPEED])</f>
        <v>20</v>
      </c>
      <c r="N70" cm="1">
        <f t="array" ref="N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0">
        <f>IF(ISNUMBER(SEARCH("passenger",PROPERTIES[[#This Row],[CARGODEF]])),1,0)</f>
        <v>0</v>
      </c>
      <c r="P70" s="29">
        <v>126</v>
      </c>
      <c r="Q70">
        <v>1500</v>
      </c>
      <c r="R70">
        <v>60</v>
      </c>
      <c r="S70" s="26">
        <v>0</v>
      </c>
      <c r="T70" s="25">
        <f>IFERROR(PROPERTIES[[#This Row],[TE_STARTING_KN]]/(PROPERTIES[[#This Row],[WEIGHT]]*9.81),0)</f>
        <v>0</v>
      </c>
      <c r="U70" s="25">
        <v>0.24</v>
      </c>
      <c r="V70" s="22">
        <f>ROUND(IF(IFERROR(PROPERTIES[[#This Row],[TE_COEFFICIENT_CALC]],0)=0,PROPERTIES[[#This Row],[TE_COEFFICIENT_MANUAL]],PROPERTIES[[#This Row],[TE_COEFFICIENT_CALC]]),3)</f>
        <v>0.24</v>
      </c>
      <c r="W70" s="10" cm="1">
        <f t="array" ref="W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0" s="32">
        <v>0</v>
      </c>
      <c r="Y70" s="8">
        <v>5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8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9" t="b">
        <v>0</v>
      </c>
      <c r="AY70"/>
      <c r="AZ70"/>
      <c r="BA70"/>
    </row>
    <row r="71" spans="1:53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t="s">
        <v>1796</v>
      </c>
      <c r="F71" t="str">
        <f>_xlfn.XLOOKUP(PROPERTIES[[#This Row],[COUNTRY]],COUNTRIES[COUNTRY_DESCRIPTION],COUNTRIES[COUNTRY_LABEL],"")</f>
        <v>HU</v>
      </c>
      <c r="G71" t="str" cm="1">
        <f t="array" ref="G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1" t="s">
        <v>19</v>
      </c>
      <c r="I71">
        <v>0</v>
      </c>
      <c r="J71">
        <v>6</v>
      </c>
      <c r="K71">
        <v>6</v>
      </c>
      <c r="L71" t="str" cm="1">
        <f t="array" ref="L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">
        <f>_xlfn.XLOOKUP("LOADINGSPEEDDEF_"&amp;PROPERTIES[[#This Row],[LOADINGSPEED]],LOADINGSPEEDDEF[TYPE],LOADINGSPEEDDEF[SPEED])</f>
        <v>20</v>
      </c>
      <c r="N71" cm="1">
        <f t="array" ref="N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1">
        <f>IF(ISNUMBER(SEARCH("passenger",PROPERTIES[[#This Row],[CARGODEF]])),1,0)</f>
        <v>0</v>
      </c>
      <c r="P71" s="29">
        <v>27</v>
      </c>
      <c r="Q71">
        <v>170</v>
      </c>
      <c r="R71">
        <v>45</v>
      </c>
      <c r="S71" s="26">
        <v>31.2</v>
      </c>
      <c r="T71" s="25">
        <f>IFERROR(PROPERTIES[[#This Row],[TE_STARTING_KN]]/(PROPERTIES[[#This Row],[WEIGHT]]*9.81),0)</f>
        <v>0.11779363461320648</v>
      </c>
      <c r="U71" s="25">
        <v>0.21</v>
      </c>
      <c r="V71" s="22">
        <f>ROUND(IF(IFERROR(PROPERTIES[[#This Row],[TE_COEFFICIENT_CALC]],0)=0,PROPERTIES[[#This Row],[TE_COEFFICIENT_MANUAL]],PROPERTIES[[#This Row],[TE_COEFFICIENT_CALC]]),3)</f>
        <v>0.11799999999999999</v>
      </c>
      <c r="W71" s="10" cm="1">
        <f t="array" ref="W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71" s="32">
        <v>0</v>
      </c>
      <c r="Y71" s="8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8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9" t="b">
        <v>0</v>
      </c>
      <c r="AY71"/>
      <c r="AZ71"/>
      <c r="BA71"/>
    </row>
    <row r="72" spans="1:53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t="s">
        <v>1709</v>
      </c>
      <c r="F72" t="str">
        <f>_xlfn.XLOOKUP(PROPERTIES[[#This Row],[COUNTRY]],COUNTRIES[COUNTRY_DESCRIPTION],COUNTRIES[COUNTRY_LABEL],"")</f>
        <v>AT</v>
      </c>
      <c r="G72" t="str" cm="1">
        <f t="array" ref="G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2" t="s">
        <v>19</v>
      </c>
      <c r="I72">
        <v>0</v>
      </c>
      <c r="J72">
        <v>6</v>
      </c>
      <c r="K72">
        <v>6</v>
      </c>
      <c r="L72" t="str" cm="1">
        <f t="array" ref="L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2">
        <f>_xlfn.XLOOKUP("LOADINGSPEEDDEF_"&amp;PROPERTIES[[#This Row],[LOADINGSPEED]],LOADINGSPEEDDEF[TYPE],LOADINGSPEEDDEF[SPEED])</f>
        <v>20</v>
      </c>
      <c r="N72" cm="1">
        <f t="array" ref="N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2">
        <f>IF(ISNUMBER(SEARCH("passenger",PROPERTIES[[#This Row],[CARGODEF]])),1,0)</f>
        <v>0</v>
      </c>
      <c r="P72" s="29">
        <v>39</v>
      </c>
      <c r="Q72">
        <v>320</v>
      </c>
      <c r="R72">
        <v>50</v>
      </c>
      <c r="S72" s="26">
        <v>0</v>
      </c>
      <c r="T72" s="25">
        <f>IFERROR(PROPERTIES[[#This Row],[TE_STARTING_KN]]/(PROPERTIES[[#This Row],[WEIGHT]]*9.81),0)</f>
        <v>0</v>
      </c>
      <c r="U72" s="25">
        <v>0.23</v>
      </c>
      <c r="V72" s="22">
        <f>ROUND(IF(IFERROR(PROPERTIES[[#This Row],[TE_COEFFICIENT_CALC]],0)=0,PROPERTIES[[#This Row],[TE_COEFFICIENT_MANUAL]],PROPERTIES[[#This Row],[TE_COEFFICIENT_CALC]]),3)</f>
        <v>0.23</v>
      </c>
      <c r="W72" s="10" cm="1">
        <f t="array" ref="W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72" s="32">
        <v>0</v>
      </c>
      <c r="Y72" s="8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8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9" t="b">
        <v>0</v>
      </c>
      <c r="AY72"/>
      <c r="AZ72"/>
      <c r="BA72"/>
    </row>
    <row r="73" spans="1:53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t="s">
        <v>1773</v>
      </c>
      <c r="F73" t="str">
        <f>_xlfn.XLOOKUP(PROPERTIES[[#This Row],[COUNTRY]],COUNTRIES[COUNTRY_DESCRIPTION],COUNTRIES[COUNTRY_LABEL],"")</f>
        <v>GB</v>
      </c>
      <c r="G73" t="str" cm="1">
        <f t="array" ref="G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3" t="s">
        <v>19</v>
      </c>
      <c r="I73">
        <v>0</v>
      </c>
      <c r="J73">
        <v>7</v>
      </c>
      <c r="K73">
        <v>7</v>
      </c>
      <c r="L73" t="str" cm="1">
        <f t="array" ref="L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3">
        <f>_xlfn.XLOOKUP("LOADINGSPEEDDEF_"&amp;PROPERTIES[[#This Row],[LOADINGSPEED]],LOADINGSPEEDDEF[TYPE],LOADINGSPEEDDEF[SPEED])</f>
        <v>20</v>
      </c>
      <c r="N73" cm="1">
        <f t="array" ref="N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3">
        <f>IF(ISNUMBER(SEARCH("passenger",PROPERTIES[[#This Row],[CARGODEF]])),1,0)</f>
        <v>0</v>
      </c>
      <c r="P73" s="29">
        <v>53</v>
      </c>
      <c r="Q73">
        <v>540</v>
      </c>
      <c r="R73">
        <v>80</v>
      </c>
      <c r="S73" s="26">
        <v>83.1</v>
      </c>
      <c r="T73" s="25">
        <f>IFERROR(PROPERTIES[[#This Row],[TE_STARTING_KN]]/(PROPERTIES[[#This Row],[WEIGHT]]*9.81),0)</f>
        <v>0.15982920777797008</v>
      </c>
      <c r="U73" s="25">
        <v>0.16</v>
      </c>
      <c r="V73" s="22">
        <f>ROUND(IF(IFERROR(PROPERTIES[[#This Row],[TE_COEFFICIENT_CALC]],0)=0,PROPERTIES[[#This Row],[TE_COEFFICIENT_MANUAL]],PROPERTIES[[#This Row],[TE_COEFFICIENT_CALC]]),3)</f>
        <v>0.16</v>
      </c>
      <c r="W73" s="10" cm="1">
        <f t="array" ref="W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3" s="32">
        <v>0</v>
      </c>
      <c r="Y73" s="8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8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9" t="b">
        <v>0</v>
      </c>
      <c r="AY73"/>
      <c r="AZ73"/>
      <c r="BA73"/>
    </row>
    <row r="74" spans="1:53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t="s">
        <v>1740</v>
      </c>
      <c r="F74" t="str">
        <f>_xlfn.XLOOKUP(PROPERTIES[[#This Row],[COUNTRY]],COUNTRIES[COUNTRY_DESCRIPTION],COUNTRIES[COUNTRY_LABEL],"")</f>
        <v>CH</v>
      </c>
      <c r="G74" t="str" cm="1">
        <f t="array" ref="G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4" t="s">
        <v>19</v>
      </c>
      <c r="I74">
        <v>0</v>
      </c>
      <c r="J74">
        <v>8</v>
      </c>
      <c r="K74">
        <v>12</v>
      </c>
      <c r="L74" t="str" cm="1">
        <f t="array" ref="L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4">
        <f>_xlfn.XLOOKUP("LOADINGSPEEDDEF_"&amp;PROPERTIES[[#This Row],[LOADINGSPEED]],LOADINGSPEEDDEF[TYPE],LOADINGSPEEDDEF[SPEED])</f>
        <v>20</v>
      </c>
      <c r="N74" cm="1">
        <f t="array" ref="N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4">
        <f>IF(ISNUMBER(SEARCH("passenger",PROPERTIES[[#This Row],[CARGODEF]])),1,0)</f>
        <v>0</v>
      </c>
      <c r="P74" s="29">
        <v>106</v>
      </c>
      <c r="Q74">
        <v>1340</v>
      </c>
      <c r="R74">
        <v>100</v>
      </c>
      <c r="S74" s="26">
        <v>0</v>
      </c>
      <c r="T74" s="25">
        <f>IFERROR(PROPERTIES[[#This Row],[TE_STARTING_KN]]/(PROPERTIES[[#This Row],[WEIGHT]]*9.81),0)</f>
        <v>0</v>
      </c>
      <c r="U74" s="25">
        <v>0.16</v>
      </c>
      <c r="V74" s="22">
        <f>ROUND(IF(IFERROR(PROPERTIES[[#This Row],[TE_COEFFICIENT_CALC]],0)=0,PROPERTIES[[#This Row],[TE_COEFFICIENT_MANUAL]],PROPERTIES[[#This Row],[TE_COEFFICIENT_CALC]]),3)</f>
        <v>0.16</v>
      </c>
      <c r="W74" s="10" cm="1">
        <f t="array" ref="W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74" s="32">
        <v>0</v>
      </c>
      <c r="Y74" s="8">
        <v>4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8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9" t="b">
        <v>0</v>
      </c>
      <c r="AY74"/>
      <c r="AZ74"/>
      <c r="BA74"/>
    </row>
    <row r="75" spans="1:53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t="s">
        <v>1740</v>
      </c>
      <c r="F75" t="str">
        <f>_xlfn.XLOOKUP(PROPERTIES[[#This Row],[COUNTRY]],COUNTRIES[COUNTRY_DESCRIPTION],COUNTRIES[COUNTRY_LABEL],"")</f>
        <v>CH</v>
      </c>
      <c r="G75" t="str" cm="1">
        <f t="array" ref="G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5" t="s">
        <v>19</v>
      </c>
      <c r="I75">
        <v>0</v>
      </c>
      <c r="J75">
        <v>6</v>
      </c>
      <c r="K75">
        <v>6</v>
      </c>
      <c r="L75" t="str" cm="1">
        <f t="array" ref="L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5">
        <f>_xlfn.XLOOKUP("LOADINGSPEEDDEF_"&amp;PROPERTIES[[#This Row],[LOADINGSPEED]],LOADINGSPEEDDEF[TYPE],LOADINGSPEEDDEF[SPEED])</f>
        <v>20</v>
      </c>
      <c r="N75" cm="1">
        <f t="array" ref="N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5">
        <f>IF(ISNUMBER(SEARCH("passenger",PROPERTIES[[#This Row],[CARGODEF]])),1,0)</f>
        <v>0</v>
      </c>
      <c r="P75" s="29">
        <v>35</v>
      </c>
      <c r="Q75">
        <v>493</v>
      </c>
      <c r="R75">
        <v>45</v>
      </c>
      <c r="S75" s="26">
        <v>0</v>
      </c>
      <c r="T75" s="25">
        <f>IFERROR(PROPERTIES[[#This Row],[TE_STARTING_KN]]/(PROPERTIES[[#This Row],[WEIGHT]]*9.81),0)</f>
        <v>0</v>
      </c>
      <c r="U75" s="25">
        <v>0.25</v>
      </c>
      <c r="V75" s="22">
        <f>ROUND(IF(IFERROR(PROPERTIES[[#This Row],[TE_COEFFICIENT_CALC]],0)=0,PROPERTIES[[#This Row],[TE_COEFFICIENT_MANUAL]],PROPERTIES[[#This Row],[TE_COEFFICIENT_CALC]]),3)</f>
        <v>0.25</v>
      </c>
      <c r="W75" s="10" cm="1">
        <f t="array" ref="W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75" s="32">
        <v>0</v>
      </c>
      <c r="Y75" s="8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8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9" t="b">
        <v>0</v>
      </c>
      <c r="AY75"/>
      <c r="AZ75"/>
      <c r="BA75"/>
    </row>
    <row r="76" spans="1:53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t="s">
        <v>1709</v>
      </c>
      <c r="F76" t="str">
        <f>_xlfn.XLOOKUP(PROPERTIES[[#This Row],[COUNTRY]],COUNTRIES[COUNTRY_DESCRIPTION],COUNTRIES[COUNTRY_LABEL],"")</f>
        <v>AT</v>
      </c>
      <c r="G76" t="str" cm="1">
        <f t="array" ref="G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6" t="s">
        <v>19</v>
      </c>
      <c r="I76">
        <v>0</v>
      </c>
      <c r="J76">
        <v>7</v>
      </c>
      <c r="K76">
        <v>7</v>
      </c>
      <c r="L76" t="str" cm="1">
        <f t="array" ref="L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6">
        <f>_xlfn.XLOOKUP("LOADINGSPEEDDEF_"&amp;PROPERTIES[[#This Row],[LOADINGSPEED]],LOADINGSPEEDDEF[TYPE],LOADINGSPEEDDEF[SPEED])</f>
        <v>20</v>
      </c>
      <c r="N76" cm="1">
        <f t="array" ref="N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6">
        <f>IF(ISNUMBER(SEARCH("passenger",PROPERTIES[[#This Row],[CARGODEF]])),1,0)</f>
        <v>0</v>
      </c>
      <c r="P76" s="29">
        <v>42</v>
      </c>
      <c r="Q76">
        <v>480</v>
      </c>
      <c r="R76">
        <v>60</v>
      </c>
      <c r="S76" s="26">
        <v>0</v>
      </c>
      <c r="T76" s="25">
        <f>IFERROR(PROPERTIES[[#This Row],[TE_STARTING_KN]]/(PROPERTIES[[#This Row],[WEIGHT]]*9.81),0)</f>
        <v>0</v>
      </c>
      <c r="U76" s="25">
        <v>0.26</v>
      </c>
      <c r="V76" s="22">
        <f>ROUND(IF(IFERROR(PROPERTIES[[#This Row],[TE_COEFFICIENT_CALC]],0)=0,PROPERTIES[[#This Row],[TE_COEFFICIENT_MANUAL]],PROPERTIES[[#This Row],[TE_COEFFICIENT_CALC]]),3)</f>
        <v>0.26</v>
      </c>
      <c r="W76" s="10" cm="1">
        <f t="array" ref="W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76" s="32">
        <v>0</v>
      </c>
      <c r="Y76" s="8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8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9" t="b">
        <v>0</v>
      </c>
      <c r="AY76"/>
      <c r="AZ76"/>
      <c r="BA76"/>
    </row>
    <row r="77" spans="1:53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t="s">
        <v>1867</v>
      </c>
      <c r="F77" t="str">
        <f>_xlfn.XLOOKUP(PROPERTIES[[#This Row],[COUNTRY]],COUNTRIES[COUNTRY_DESCRIPTION],COUNTRIES[COUNTRY_LABEL],"")</f>
        <v>NZ</v>
      </c>
      <c r="G77" t="str" cm="1">
        <f t="array" ref="G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7" t="s">
        <v>19</v>
      </c>
      <c r="I77">
        <v>0</v>
      </c>
      <c r="J77">
        <v>8</v>
      </c>
      <c r="K77">
        <v>14</v>
      </c>
      <c r="L77" t="str" cm="1">
        <f t="array" ref="L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7">
        <f>_xlfn.XLOOKUP("LOADINGSPEEDDEF_"&amp;PROPERTIES[[#This Row],[LOADINGSPEED]],LOADINGSPEEDDEF[TYPE],LOADINGSPEEDDEF[SPEED])</f>
        <v>20</v>
      </c>
      <c r="N77" cm="1">
        <f t="array" ref="N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7">
        <f>IF(ISNUMBER(SEARCH("passenger",PROPERTIES[[#This Row],[CARGODEF]])),1,0)</f>
        <v>0</v>
      </c>
      <c r="P77" s="29">
        <v>94</v>
      </c>
      <c r="Q77">
        <v>850</v>
      </c>
      <c r="R77">
        <v>48</v>
      </c>
      <c r="S77" s="26">
        <v>0</v>
      </c>
      <c r="T77" s="25">
        <f>IFERROR(PROPERTIES[[#This Row],[TE_STARTING_KN]]/(PROPERTIES[[#This Row],[WEIGHT]]*9.81),0)</f>
        <v>0</v>
      </c>
      <c r="U77" s="25">
        <v>0.22</v>
      </c>
      <c r="V77" s="22">
        <f>ROUND(IF(IFERROR(PROPERTIES[[#This Row],[TE_COEFFICIENT_CALC]],0)=0,PROPERTIES[[#This Row],[TE_COEFFICIENT_MANUAL]],PROPERTIES[[#This Row],[TE_COEFFICIENT_CALC]]),3)</f>
        <v>0.22</v>
      </c>
      <c r="W77" s="10" cm="1">
        <f t="array" ref="W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77" s="32">
        <v>0</v>
      </c>
      <c r="Y77" s="8">
        <v>6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8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9" t="b">
        <v>0</v>
      </c>
      <c r="AY77"/>
      <c r="AZ77"/>
      <c r="BA77"/>
    </row>
    <row r="78" spans="1:53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t="s">
        <v>1794</v>
      </c>
      <c r="F78" t="str">
        <f>_xlfn.XLOOKUP(PROPERTIES[[#This Row],[COUNTRY]],COUNTRIES[COUNTRY_DESCRIPTION],COUNTRIES[COUNTRY_LABEL],"")</f>
        <v>HR</v>
      </c>
      <c r="G78" t="str" cm="1">
        <f t="array" ref="G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8" t="s">
        <v>19</v>
      </c>
      <c r="I78">
        <v>0</v>
      </c>
      <c r="J78">
        <v>6</v>
      </c>
      <c r="K78">
        <v>6</v>
      </c>
      <c r="L78" t="str" cm="1">
        <f t="array" ref="L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8">
        <f>_xlfn.XLOOKUP("LOADINGSPEEDDEF_"&amp;PROPERTIES[[#This Row],[LOADINGSPEED]],LOADINGSPEEDDEF[TYPE],LOADINGSPEEDDEF[SPEED])</f>
        <v>20</v>
      </c>
      <c r="N78" cm="1">
        <f t="array" ref="N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8">
        <f>IF(ISNUMBER(SEARCH("passenger",PROPERTIES[[#This Row],[CARGODEF]])),1,0)</f>
        <v>0</v>
      </c>
      <c r="P78" s="29">
        <v>52</v>
      </c>
      <c r="Q78">
        <v>330</v>
      </c>
      <c r="R78">
        <v>60</v>
      </c>
      <c r="S78" s="26">
        <v>0</v>
      </c>
      <c r="T78" s="25">
        <f>IFERROR(PROPERTIES[[#This Row],[TE_STARTING_KN]]/(PROPERTIES[[#This Row],[WEIGHT]]*9.81),0)</f>
        <v>0</v>
      </c>
      <c r="U78" s="25">
        <v>0.19</v>
      </c>
      <c r="V78" s="22">
        <f>ROUND(IF(IFERROR(PROPERTIES[[#This Row],[TE_COEFFICIENT_CALC]],0)=0,PROPERTIES[[#This Row],[TE_COEFFICIENT_MANUAL]],PROPERTIES[[#This Row],[TE_COEFFICIENT_CALC]]),3)</f>
        <v>0.19</v>
      </c>
      <c r="W78" s="10" cm="1">
        <f t="array" ref="W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78" s="32">
        <v>0</v>
      </c>
      <c r="Y78" s="8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8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9" t="b">
        <v>0</v>
      </c>
      <c r="AY78"/>
      <c r="AZ78"/>
      <c r="BA78"/>
    </row>
    <row r="79" spans="1:53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t="s">
        <v>1806</v>
      </c>
      <c r="F79" t="str">
        <f>_xlfn.XLOOKUP(PROPERTIES[[#This Row],[COUNTRY]],COUNTRIES[COUNTRY_DESCRIPTION],COUNTRIES[COUNTRY_LABEL],"")</f>
        <v>IT</v>
      </c>
      <c r="G79" t="str" cm="1">
        <f t="array" ref="G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" t="s">
        <v>19</v>
      </c>
      <c r="I79">
        <v>0</v>
      </c>
      <c r="J79">
        <v>6</v>
      </c>
      <c r="K79">
        <v>6</v>
      </c>
      <c r="L79" t="str" cm="1">
        <f t="array" ref="L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">
        <f>_xlfn.XLOOKUP("LOADINGSPEEDDEF_"&amp;PROPERTIES[[#This Row],[LOADINGSPEED]],LOADINGSPEEDDEF[TYPE],LOADINGSPEEDDEF[SPEED])</f>
        <v>20</v>
      </c>
      <c r="N79" cm="1">
        <f t="array" ref="N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">
        <f>IF(ISNUMBER(SEARCH("passenger",PROPERTIES[[#This Row],[CARGODEF]])),1,0)</f>
        <v>0</v>
      </c>
      <c r="P79" s="29">
        <v>92</v>
      </c>
      <c r="Q79">
        <v>540</v>
      </c>
      <c r="R79">
        <v>75</v>
      </c>
      <c r="S79" s="26">
        <v>0</v>
      </c>
      <c r="T79" s="25">
        <f>IFERROR(PROPERTIES[[#This Row],[TE_STARTING_KN]]/(PROPERTIES[[#This Row],[WEIGHT]]*9.81),0)</f>
        <v>0</v>
      </c>
      <c r="U79" s="25">
        <v>0.2</v>
      </c>
      <c r="V79" s="22">
        <f>ROUND(IF(IFERROR(PROPERTIES[[#This Row],[TE_COEFFICIENT_CALC]],0)=0,PROPERTIES[[#This Row],[TE_COEFFICIENT_MANUAL]],PROPERTIES[[#This Row],[TE_COEFFICIENT_CALC]]),3)</f>
        <v>0.2</v>
      </c>
      <c r="W79" s="10" cm="1">
        <f t="array" ref="W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9" s="32">
        <v>0</v>
      </c>
      <c r="Y79" s="8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8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9" t="b">
        <v>0</v>
      </c>
      <c r="AY79"/>
      <c r="AZ79"/>
      <c r="BA79"/>
    </row>
    <row r="80" spans="1:53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t="s">
        <v>1707</v>
      </c>
      <c r="F80" t="str">
        <f>_xlfn.XLOOKUP(PROPERTIES[[#This Row],[COUNTRY]],COUNTRIES[COUNTRY_DESCRIPTION],COUNTRIES[COUNTRY_LABEL],"")</f>
        <v>AR</v>
      </c>
      <c r="G80" t="str" cm="1">
        <f t="array" ref="G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0" t="s">
        <v>19</v>
      </c>
      <c r="I80">
        <v>0</v>
      </c>
      <c r="J80">
        <v>7</v>
      </c>
      <c r="K80">
        <v>11</v>
      </c>
      <c r="L80" t="str" cm="1">
        <f t="array" ref="L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">
        <f>_xlfn.XLOOKUP("LOADINGSPEEDDEF_"&amp;PROPERTIES[[#This Row],[LOADINGSPEED]],LOADINGSPEEDDEF[TYPE],LOADINGSPEEDDEF[SPEED])</f>
        <v>20</v>
      </c>
      <c r="N80" cm="1">
        <f t="array" ref="N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">
        <f>IF(ISNUMBER(SEARCH("passenger",PROPERTIES[[#This Row],[CARGODEF]])),1,0)</f>
        <v>0</v>
      </c>
      <c r="P80" s="29">
        <v>92</v>
      </c>
      <c r="Q80">
        <v>850</v>
      </c>
      <c r="R80">
        <v>64</v>
      </c>
      <c r="S80" s="26">
        <v>0</v>
      </c>
      <c r="T80" s="25">
        <f>IFERROR(PROPERTIES[[#This Row],[TE_STARTING_KN]]/(PROPERTIES[[#This Row],[WEIGHT]]*9.81),0)</f>
        <v>0</v>
      </c>
      <c r="U80" s="25">
        <v>0.22</v>
      </c>
      <c r="V80" s="22">
        <f>ROUND(IF(IFERROR(PROPERTIES[[#This Row],[TE_COEFFICIENT_CALC]],0)=0,PROPERTIES[[#This Row],[TE_COEFFICIENT_MANUAL]],PROPERTIES[[#This Row],[TE_COEFFICIENT_CALC]]),3)</f>
        <v>0.22</v>
      </c>
      <c r="W80" s="10" cm="1">
        <f t="array" ref="W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0" s="32">
        <v>0</v>
      </c>
      <c r="Y80" s="8">
        <v>4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8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9" t="b">
        <v>0</v>
      </c>
      <c r="AY80"/>
      <c r="AZ80"/>
      <c r="BA80"/>
    </row>
    <row r="81" spans="1:53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t="s">
        <v>1772</v>
      </c>
      <c r="F81" t="str">
        <f>_xlfn.XLOOKUP(PROPERTIES[[#This Row],[COUNTRY]],COUNTRIES[COUNTRY_DESCRIPTION],COUNTRIES[COUNTRY_LABEL],"")</f>
        <v>FR</v>
      </c>
      <c r="G81" t="str" cm="1">
        <f t="array" ref="G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1" t="s">
        <v>19</v>
      </c>
      <c r="I81">
        <v>0</v>
      </c>
      <c r="J81">
        <v>7</v>
      </c>
      <c r="K81">
        <v>11</v>
      </c>
      <c r="L81" t="str" cm="1">
        <f t="array" ref="L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">
        <f>_xlfn.XLOOKUP("LOADINGSPEEDDEF_"&amp;PROPERTIES[[#This Row],[LOADINGSPEED]],LOADINGSPEEDDEF[TYPE],LOADINGSPEEDDEF[SPEED])</f>
        <v>20</v>
      </c>
      <c r="N81" cm="1">
        <f t="array" ref="N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">
        <f>IF(ISNUMBER(SEARCH("passenger",PROPERTIES[[#This Row],[CARGODEF]])),1,0)</f>
        <v>0</v>
      </c>
      <c r="P81" s="29">
        <v>118</v>
      </c>
      <c r="Q81">
        <v>1500</v>
      </c>
      <c r="R81">
        <v>80</v>
      </c>
      <c r="S81" s="26">
        <v>0</v>
      </c>
      <c r="T81" s="25">
        <f>IFERROR(PROPERTIES[[#This Row],[TE_STARTING_KN]]/(PROPERTIES[[#This Row],[WEIGHT]]*9.81),0)</f>
        <v>0</v>
      </c>
      <c r="U81" s="25">
        <v>0.16</v>
      </c>
      <c r="V81" s="22">
        <f>ROUND(IF(IFERROR(PROPERTIES[[#This Row],[TE_COEFFICIENT_CALC]],0)=0,PROPERTIES[[#This Row],[TE_COEFFICIENT_MANUAL]],PROPERTIES[[#This Row],[TE_COEFFICIENT_CALC]]),3)</f>
        <v>0.16</v>
      </c>
      <c r="W81" s="10" cm="1">
        <f t="array" ref="W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" s="32">
        <v>0</v>
      </c>
      <c r="Y81" s="8">
        <v>4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8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9" t="b">
        <v>0</v>
      </c>
      <c r="AY81"/>
      <c r="AZ81"/>
      <c r="BA81"/>
    </row>
    <row r="82" spans="1:53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t="s">
        <v>1772</v>
      </c>
      <c r="F82" t="str">
        <f>_xlfn.XLOOKUP(PROPERTIES[[#This Row],[COUNTRY]],COUNTRIES[COUNTRY_DESCRIPTION],COUNTRIES[COUNTRY_LABEL],"")</f>
        <v>FR</v>
      </c>
      <c r="G82" t="str" cm="1">
        <f t="array" ref="G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" t="s">
        <v>19</v>
      </c>
      <c r="I82">
        <v>0</v>
      </c>
      <c r="J82">
        <v>7</v>
      </c>
      <c r="K82">
        <v>7</v>
      </c>
      <c r="L82" t="str" cm="1">
        <f t="array" ref="L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">
        <f>_xlfn.XLOOKUP("LOADINGSPEEDDEF_"&amp;PROPERTIES[[#This Row],[LOADINGSPEED]],LOADINGSPEEDDEF[TYPE],LOADINGSPEEDDEF[SPEED])</f>
        <v>20</v>
      </c>
      <c r="N82" cm="1">
        <f t="array" ref="N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">
        <f>IF(ISNUMBER(SEARCH("passenger",PROPERTIES[[#This Row],[CARGODEF]])),1,0)</f>
        <v>0</v>
      </c>
      <c r="P82" s="29">
        <v>94</v>
      </c>
      <c r="Q82">
        <v>1360</v>
      </c>
      <c r="R82">
        <v>70</v>
      </c>
      <c r="S82" s="26">
        <v>0</v>
      </c>
      <c r="T82" s="25">
        <f>IFERROR(PROPERTIES[[#This Row],[TE_STARTING_KN]]/(PROPERTIES[[#This Row],[WEIGHT]]*9.81),0)</f>
        <v>0</v>
      </c>
      <c r="U82" s="25">
        <v>0.18</v>
      </c>
      <c r="V82" s="22">
        <f>ROUND(IF(IFERROR(PROPERTIES[[#This Row],[TE_COEFFICIENT_CALC]],0)=0,PROPERTIES[[#This Row],[TE_COEFFICIENT_MANUAL]],PROPERTIES[[#This Row],[TE_COEFFICIENT_CALC]]),3)</f>
        <v>0.18</v>
      </c>
      <c r="W82" s="10" cm="1">
        <f t="array" ref="W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2" s="32">
        <v>0</v>
      </c>
      <c r="Y82" s="8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8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9" t="b">
        <v>0</v>
      </c>
      <c r="AY82"/>
      <c r="AZ82"/>
      <c r="BA82"/>
    </row>
    <row r="83" spans="1:53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t="s">
        <v>1773</v>
      </c>
      <c r="F83" t="str">
        <f>_xlfn.XLOOKUP(PROPERTIES[[#This Row],[COUNTRY]],COUNTRIES[COUNTRY_DESCRIPTION],COUNTRIES[COUNTRY_LABEL],"")</f>
        <v>GB</v>
      </c>
      <c r="G83" t="str" cm="1">
        <f t="array" ref="G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" t="s">
        <v>19</v>
      </c>
      <c r="I83">
        <v>0</v>
      </c>
      <c r="J83">
        <v>8</v>
      </c>
      <c r="K83">
        <f>8+7</f>
        <v>15</v>
      </c>
      <c r="L83" t="str" cm="1">
        <f t="array" ref="L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">
        <f>_xlfn.XLOOKUP("LOADINGSPEEDDEF_"&amp;PROPERTIES[[#This Row],[LOADINGSPEED]],LOADINGSPEEDDEF[TYPE],LOADINGSPEEDDEF[SPEED])</f>
        <v>20</v>
      </c>
      <c r="N83" cm="1">
        <f t="array" ref="N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">
        <f>IF(ISNUMBER(SEARCH("passenger",PROPERTIES[[#This Row],[CARGODEF]])),1,0)</f>
        <v>0</v>
      </c>
      <c r="P83" s="29">
        <v>122</v>
      </c>
      <c r="Q83">
        <v>1450</v>
      </c>
      <c r="R83">
        <v>130</v>
      </c>
      <c r="S83" s="26">
        <v>0</v>
      </c>
      <c r="T83" s="25">
        <f>IFERROR(PROPERTIES[[#This Row],[TE_STARTING_KN]]/(PROPERTIES[[#This Row],[WEIGHT]]*9.81),0)</f>
        <v>0</v>
      </c>
      <c r="U83" s="25">
        <v>0.11</v>
      </c>
      <c r="V83" s="22">
        <f>ROUND(IF(IFERROR(PROPERTIES[[#This Row],[TE_COEFFICIENT_CALC]],0)=0,PROPERTIES[[#This Row],[TE_COEFFICIENT_MANUAL]],PROPERTIES[[#This Row],[TE_COEFFICIENT_CALC]]),3)</f>
        <v>0.11</v>
      </c>
      <c r="W83" s="10" cm="1">
        <f t="array" ref="W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83" s="32">
        <v>0</v>
      </c>
      <c r="Y83" s="8">
        <v>6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8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9" t="b">
        <v>0</v>
      </c>
      <c r="AY83"/>
      <c r="AZ83"/>
      <c r="BA83"/>
    </row>
    <row r="84" spans="1:53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t="s">
        <v>1773</v>
      </c>
      <c r="F84" t="str">
        <f>_xlfn.XLOOKUP(PROPERTIES[[#This Row],[COUNTRY]],COUNTRIES[COUNTRY_DESCRIPTION],COUNTRIES[COUNTRY_LABEL],"")</f>
        <v>GB</v>
      </c>
      <c r="G84" t="str" cm="1">
        <f t="array" ref="G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" t="s">
        <v>19</v>
      </c>
      <c r="I84">
        <v>0</v>
      </c>
      <c r="J84">
        <v>6</v>
      </c>
      <c r="K84">
        <v>6</v>
      </c>
      <c r="L84" t="str" cm="1">
        <f t="array" ref="L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">
        <f>_xlfn.XLOOKUP("LOADINGSPEEDDEF_"&amp;PROPERTIES[[#This Row],[LOADINGSPEED]],LOADINGSPEEDDEF[TYPE],LOADINGSPEEDDEF[SPEED])</f>
        <v>20</v>
      </c>
      <c r="N84" cm="1">
        <f t="array" ref="N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">
        <f>IF(ISNUMBER(SEARCH("passenger",PROPERTIES[[#This Row],[CARGODEF]])),1,0)</f>
        <v>0</v>
      </c>
      <c r="P84" s="29">
        <v>48</v>
      </c>
      <c r="Q84">
        <v>700</v>
      </c>
      <c r="R84">
        <v>72</v>
      </c>
      <c r="S84" s="26">
        <v>0</v>
      </c>
      <c r="T84" s="25">
        <f>IFERROR(PROPERTIES[[#This Row],[TE_STARTING_KN]]/(PROPERTIES[[#This Row],[WEIGHT]]*9.81),0)</f>
        <v>0</v>
      </c>
      <c r="U84" s="25">
        <v>0.21</v>
      </c>
      <c r="V84" s="22">
        <f>ROUND(IF(IFERROR(PROPERTIES[[#This Row],[TE_COEFFICIENT_CALC]],0)=0,PROPERTIES[[#This Row],[TE_COEFFICIENT_MANUAL]],PROPERTIES[[#This Row],[TE_COEFFICIENT_CALC]]),3)</f>
        <v>0.21</v>
      </c>
      <c r="W84" s="10" cm="1">
        <f t="array" ref="W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" s="32">
        <v>0</v>
      </c>
      <c r="Y84" s="8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8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9" t="b">
        <v>0</v>
      </c>
      <c r="AY84"/>
      <c r="AZ84"/>
      <c r="BA84"/>
    </row>
    <row r="85" spans="1:53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t="s">
        <v>1862</v>
      </c>
      <c r="F85" t="str">
        <f>_xlfn.XLOOKUP(PROPERTIES[[#This Row],[COUNTRY]],COUNTRIES[COUNTRY_DESCRIPTION],COUNTRIES[COUNTRY_LABEL],"")</f>
        <v>NL</v>
      </c>
      <c r="G85" t="str" cm="1">
        <f t="array" ref="G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5" t="s">
        <v>19</v>
      </c>
      <c r="I85">
        <v>0</v>
      </c>
      <c r="J85">
        <v>8</v>
      </c>
      <c r="K85">
        <v>8</v>
      </c>
      <c r="L85" t="str" cm="1">
        <f t="array" ref="L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">
        <f>_xlfn.XLOOKUP("LOADINGSPEEDDEF_"&amp;PROPERTIES[[#This Row],[LOADINGSPEED]],LOADINGSPEEDDEF[TYPE],LOADINGSPEEDDEF[SPEED])</f>
        <v>20</v>
      </c>
      <c r="N85" cm="1">
        <f t="array" ref="N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">
        <f>IF(ISNUMBER(SEARCH("passenger",PROPERTIES[[#This Row],[CARGODEF]])),1,0)</f>
        <v>0</v>
      </c>
      <c r="P85" s="29">
        <v>127</v>
      </c>
      <c r="Q85">
        <v>1609</v>
      </c>
      <c r="R85">
        <v>90</v>
      </c>
      <c r="S85" s="26">
        <v>0</v>
      </c>
      <c r="T85" s="25">
        <f>IFERROR(PROPERTIES[[#This Row],[TE_STARTING_KN]]/(PROPERTIES[[#This Row],[WEIGHT]]*9.81),0)</f>
        <v>0</v>
      </c>
      <c r="U85" s="25">
        <v>0.12</v>
      </c>
      <c r="V85" s="22">
        <f>ROUND(IF(IFERROR(PROPERTIES[[#This Row],[TE_COEFFICIENT_CALC]],0)=0,PROPERTIES[[#This Row],[TE_COEFFICIENT_MANUAL]],PROPERTIES[[#This Row],[TE_COEFFICIENT_CALC]]),3)</f>
        <v>0.12</v>
      </c>
      <c r="W85" s="10" cm="1">
        <f t="array" ref="W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5" s="32">
        <v>0</v>
      </c>
      <c r="Y85" s="8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8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9" t="b">
        <v>0</v>
      </c>
      <c r="AY85"/>
      <c r="AZ85"/>
      <c r="BA85"/>
    </row>
    <row r="86" spans="1:53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t="s">
        <v>1928</v>
      </c>
      <c r="F86" t="str">
        <f>_xlfn.XLOOKUP(PROPERTIES[[#This Row],[COUNTRY]],COUNTRIES[COUNTRY_DESCRIPTION],COUNTRIES[COUNTRY_LABEL],"")</f>
        <v>US</v>
      </c>
      <c r="G86" t="str" cm="1">
        <f t="array" ref="G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6" t="s">
        <v>19</v>
      </c>
      <c r="I86">
        <v>0</v>
      </c>
      <c r="J86">
        <v>8</v>
      </c>
      <c r="K86">
        <f>8+6</f>
        <v>14</v>
      </c>
      <c r="L86" t="str" cm="1">
        <f t="array" ref="L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">
        <f>_xlfn.XLOOKUP("LOADINGSPEEDDEF_"&amp;PROPERTIES[[#This Row],[LOADINGSPEED]],LOADINGSPEEDDEF[TYPE],LOADINGSPEEDDEF[SPEED])</f>
        <v>20</v>
      </c>
      <c r="N86" cm="1">
        <f t="array" ref="N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">
        <f>IF(ISNUMBER(SEARCH("passenger",PROPERTIES[[#This Row],[CARGODEF]])),1,0)</f>
        <v>0</v>
      </c>
      <c r="P86" s="29">
        <v>415</v>
      </c>
      <c r="Q86">
        <v>5000</v>
      </c>
      <c r="R86">
        <v>110</v>
      </c>
      <c r="S86" s="26">
        <v>0</v>
      </c>
      <c r="T86" s="25">
        <f>IFERROR(PROPERTIES[[#This Row],[TE_STARTING_KN]]/(PROPERTIES[[#This Row],[WEIGHT]]*9.81),0)</f>
        <v>0</v>
      </c>
      <c r="U86" s="25">
        <v>0.11</v>
      </c>
      <c r="V86" s="22">
        <f>ROUND(IF(IFERROR(PROPERTIES[[#This Row],[TE_COEFFICIENT_CALC]],0)=0,PROPERTIES[[#This Row],[TE_COEFFICIENT_MANUAL]],PROPERTIES[[#This Row],[TE_COEFFICIENT_CALC]]),3)</f>
        <v>0.11</v>
      </c>
      <c r="W86" s="10" cm="1">
        <f t="array" ref="W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6" s="32">
        <v>0</v>
      </c>
      <c r="Y86" s="8">
        <v>6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8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9" t="b">
        <v>0</v>
      </c>
      <c r="AY86"/>
      <c r="AZ86"/>
      <c r="BA86"/>
    </row>
    <row r="87" spans="1:53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t="s">
        <v>1754</v>
      </c>
      <c r="F87" t="str">
        <f>_xlfn.XLOOKUP(PROPERTIES[[#This Row],[COUNTRY]],COUNTRIES[COUNTRY_DESCRIPTION],COUNTRIES[COUNTRY_LABEL],"")</f>
        <v>DE</v>
      </c>
      <c r="G87" t="str" cm="1">
        <f t="array" ref="G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7" t="s">
        <v>19</v>
      </c>
      <c r="I87">
        <v>0</v>
      </c>
      <c r="J87">
        <v>8</v>
      </c>
      <c r="K87">
        <v>12</v>
      </c>
      <c r="L87" t="str" cm="1">
        <f t="array" ref="L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">
        <f>_xlfn.XLOOKUP("LOADINGSPEEDDEF_"&amp;PROPERTIES[[#This Row],[LOADINGSPEED]],LOADINGSPEEDDEF[TYPE],LOADINGSPEEDDEF[SPEED])</f>
        <v>20</v>
      </c>
      <c r="N87" cm="1">
        <f t="array" ref="N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">
        <f>IF(ISNUMBER(SEARCH("passenger",PROPERTIES[[#This Row],[CARGODEF]])),1,0)</f>
        <v>0</v>
      </c>
      <c r="P87" s="29">
        <v>140</v>
      </c>
      <c r="Q87">
        <v>1500</v>
      </c>
      <c r="R87">
        <v>110</v>
      </c>
      <c r="S87" s="26">
        <v>0</v>
      </c>
      <c r="T87" s="25">
        <f>IFERROR(PROPERTIES[[#This Row],[TE_STARTING_KN]]/(PROPERTIES[[#This Row],[WEIGHT]]*9.81),0)</f>
        <v>0</v>
      </c>
      <c r="U87" s="25">
        <v>0.1</v>
      </c>
      <c r="V87" s="22">
        <f>ROUND(IF(IFERROR(PROPERTIES[[#This Row],[TE_COEFFICIENT_CALC]],0)=0,PROPERTIES[[#This Row],[TE_COEFFICIENT_MANUAL]],PROPERTIES[[#This Row],[TE_COEFFICIENT_CALC]]),3)</f>
        <v>0.1</v>
      </c>
      <c r="W87" s="10" cm="1">
        <f t="array" ref="W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87" s="32">
        <v>0</v>
      </c>
      <c r="Y87" s="8">
        <v>4</v>
      </c>
      <c r="Z87" t="s">
        <v>875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8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9" t="b">
        <v>0</v>
      </c>
      <c r="AY87"/>
      <c r="AZ87"/>
      <c r="BA87"/>
    </row>
    <row r="88" spans="1:53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t="s">
        <v>1773</v>
      </c>
      <c r="F88" t="str">
        <f>_xlfn.XLOOKUP(PROPERTIES[[#This Row],[COUNTRY]],COUNTRIES[COUNTRY_DESCRIPTION],COUNTRIES[COUNTRY_LABEL],"")</f>
        <v>GB</v>
      </c>
      <c r="G88" t="str" cm="1">
        <f t="array" ref="G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" t="s">
        <v>19</v>
      </c>
      <c r="I88">
        <v>0</v>
      </c>
      <c r="J88">
        <v>8</v>
      </c>
      <c r="K88">
        <v>13</v>
      </c>
      <c r="L88" t="str" cm="1">
        <f t="array" ref="L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">
        <f>_xlfn.XLOOKUP("LOADINGSPEEDDEF_"&amp;PROPERTIES[[#This Row],[LOADINGSPEED]],LOADINGSPEEDDEF[TYPE],LOADINGSPEEDDEF[SPEED])</f>
        <v>20</v>
      </c>
      <c r="N88" cm="1">
        <f t="array" ref="N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">
        <f>IF(ISNUMBER(SEARCH("passenger",PROPERTIES[[#This Row],[CARGODEF]])),1,0)</f>
        <v>0</v>
      </c>
      <c r="P88" s="29">
        <v>125</v>
      </c>
      <c r="Q88">
        <v>1600</v>
      </c>
      <c r="R88">
        <v>145</v>
      </c>
      <c r="S88" s="26">
        <v>0</v>
      </c>
      <c r="T88" s="25">
        <f>IFERROR(PROPERTIES[[#This Row],[TE_STARTING_KN]]/(PROPERTIES[[#This Row],[WEIGHT]]*9.81),0)</f>
        <v>0</v>
      </c>
      <c r="U88" s="25">
        <v>0.11</v>
      </c>
      <c r="V88" s="22">
        <f>ROUND(IF(IFERROR(PROPERTIES[[#This Row],[TE_COEFFICIENT_CALC]],0)=0,PROPERTIES[[#This Row],[TE_COEFFICIENT_MANUAL]],PROPERTIES[[#This Row],[TE_COEFFICIENT_CALC]]),3)</f>
        <v>0.11</v>
      </c>
      <c r="W88" s="10" cm="1">
        <f t="array" ref="W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" s="32">
        <v>0</v>
      </c>
      <c r="Y88" s="8">
        <v>5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8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9" t="b">
        <v>0</v>
      </c>
      <c r="AY88"/>
      <c r="AZ88"/>
      <c r="BA88"/>
    </row>
    <row r="89" spans="1:53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t="s">
        <v>1887</v>
      </c>
      <c r="F89" t="str">
        <f>_xlfn.XLOOKUP(PROPERTIES[[#This Row],[COUNTRY]],COUNTRIES[COUNTRY_DESCRIPTION],COUNTRIES[COUNTRY_LABEL],"")</f>
        <v>RU</v>
      </c>
      <c r="G89" t="str" cm="1">
        <f t="array" ref="G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" t="s">
        <v>19</v>
      </c>
      <c r="I89">
        <v>0</v>
      </c>
      <c r="J89">
        <v>6</v>
      </c>
      <c r="K89">
        <v>6</v>
      </c>
      <c r="L89" t="str" cm="1">
        <f t="array" ref="L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">
        <f>_xlfn.XLOOKUP("LOADINGSPEEDDEF_"&amp;PROPERTIES[[#This Row],[LOADINGSPEED]],LOADINGSPEEDDEF[TYPE],LOADINGSPEEDDEF[SPEED])</f>
        <v>20</v>
      </c>
      <c r="N89" cm="1">
        <f t="array" ref="N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">
        <f>IF(ISNUMBER(SEARCH("passenger",PROPERTIES[[#This Row],[CARGODEF]])),1,0)</f>
        <v>0</v>
      </c>
      <c r="P89" s="29">
        <v>55</v>
      </c>
      <c r="Q89">
        <v>450</v>
      </c>
      <c r="R89">
        <v>35</v>
      </c>
      <c r="S89" s="26">
        <v>0</v>
      </c>
      <c r="T89" s="25">
        <f>IFERROR(PROPERTIES[[#This Row],[TE_STARTING_KN]]/(PROPERTIES[[#This Row],[WEIGHT]]*9.81),0)</f>
        <v>0</v>
      </c>
      <c r="U89" s="25">
        <v>0.18</v>
      </c>
      <c r="V89" s="22">
        <f>ROUND(IF(IFERROR(PROPERTIES[[#This Row],[TE_COEFFICIENT_CALC]],0)=0,PROPERTIES[[#This Row],[TE_COEFFICIENT_MANUAL]],PROPERTIES[[#This Row],[TE_COEFFICIENT_CALC]]),3)</f>
        <v>0.18</v>
      </c>
      <c r="W89" s="10" cm="1">
        <f t="array" ref="W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" s="32">
        <v>0</v>
      </c>
      <c r="Y89" s="8">
        <v>0</v>
      </c>
      <c r="Z89" t="s">
        <v>3514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8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9" t="b">
        <v>0</v>
      </c>
      <c r="AY89"/>
      <c r="AZ89"/>
      <c r="BA89"/>
    </row>
    <row r="90" spans="1:53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t="s">
        <v>1773</v>
      </c>
      <c r="F90" t="str">
        <f>_xlfn.XLOOKUP(PROPERTIES[[#This Row],[COUNTRY]],COUNTRIES[COUNTRY_DESCRIPTION],COUNTRIES[COUNTRY_LABEL],"")</f>
        <v>GB</v>
      </c>
      <c r="G90" t="str" cm="1">
        <f t="array" ref="G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0" t="s">
        <v>19</v>
      </c>
      <c r="I90">
        <v>0</v>
      </c>
      <c r="J90">
        <v>8</v>
      </c>
      <c r="K90">
        <f>8+6</f>
        <v>14</v>
      </c>
      <c r="L90" t="str" cm="1">
        <f t="array" ref="L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0">
        <f>_xlfn.XLOOKUP("LOADINGSPEEDDEF_"&amp;PROPERTIES[[#This Row],[LOADINGSPEED]],LOADINGSPEEDDEF[TYPE],LOADINGSPEEDDEF[SPEED])</f>
        <v>20</v>
      </c>
      <c r="N90" cm="1">
        <f t="array" ref="N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">
        <f>IF(ISNUMBER(SEARCH("passenger",PROPERTIES[[#This Row],[CARGODEF]])),1,0)</f>
        <v>0</v>
      </c>
      <c r="P90" s="29">
        <v>170</v>
      </c>
      <c r="Q90">
        <v>2200</v>
      </c>
      <c r="R90">
        <v>140</v>
      </c>
      <c r="S90" s="26">
        <v>0</v>
      </c>
      <c r="T90" s="25">
        <f>IFERROR(PROPERTIES[[#This Row],[TE_STARTING_KN]]/(PROPERTIES[[#This Row],[WEIGHT]]*9.81),0)</f>
        <v>0</v>
      </c>
      <c r="U90" s="25">
        <v>0.09</v>
      </c>
      <c r="V90" s="22">
        <f>ROUND(IF(IFERROR(PROPERTIES[[#This Row],[TE_COEFFICIENT_CALC]],0)=0,PROPERTIES[[#This Row],[TE_COEFFICIENT_MANUAL]],PROPERTIES[[#This Row],[TE_COEFFICIENT_CALC]]),3)</f>
        <v>0.09</v>
      </c>
      <c r="W90" s="10" cm="1">
        <f t="array" ref="W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0" s="32">
        <v>0</v>
      </c>
      <c r="Y90" s="8">
        <v>6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8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9" t="b">
        <v>0</v>
      </c>
      <c r="AY90"/>
      <c r="AZ90"/>
      <c r="BA90"/>
    </row>
    <row r="91" spans="1:53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t="s">
        <v>1735</v>
      </c>
      <c r="F91" t="str">
        <f>_xlfn.XLOOKUP(PROPERTIES[[#This Row],[COUNTRY]],COUNTRIES[COUNTRY_DESCRIPTION],COUNTRIES[COUNTRY_LABEL],"")</f>
        <v>CA</v>
      </c>
      <c r="G91" t="str" cm="1">
        <f t="array" ref="G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1" t="s">
        <v>19</v>
      </c>
      <c r="I91">
        <v>0</v>
      </c>
      <c r="J91">
        <v>8</v>
      </c>
      <c r="K91">
        <v>14</v>
      </c>
      <c r="L91" t="str" cm="1">
        <f t="array" ref="L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1">
        <f>_xlfn.XLOOKUP("LOADINGSPEEDDEF_"&amp;PROPERTIES[[#This Row],[LOADINGSPEED]],LOADINGSPEEDDEF[TYPE],LOADINGSPEEDDEF[SPEED])</f>
        <v>20</v>
      </c>
      <c r="N91" cm="1">
        <f t="array" ref="N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1">
        <f>IF(ISNUMBER(SEARCH("passenger",PROPERTIES[[#This Row],[CARGODEF]])),1,0)</f>
        <v>0</v>
      </c>
      <c r="P91" s="29">
        <v>286</v>
      </c>
      <c r="Q91">
        <v>3100</v>
      </c>
      <c r="R91">
        <v>144</v>
      </c>
      <c r="S91" s="26">
        <v>0</v>
      </c>
      <c r="T91" s="25">
        <f>IFERROR(PROPERTIES[[#This Row],[TE_STARTING_KN]]/(PROPERTIES[[#This Row],[WEIGHT]]*9.81),0)</f>
        <v>0</v>
      </c>
      <c r="U91" s="25">
        <v>7.0000000000000007E-2</v>
      </c>
      <c r="V91" s="22">
        <f>ROUND(IF(IFERROR(PROPERTIES[[#This Row],[TE_COEFFICIENT_CALC]],0)=0,PROPERTIES[[#This Row],[TE_COEFFICIENT_MANUAL]],PROPERTIES[[#This Row],[TE_COEFFICIENT_CALC]]),3)</f>
        <v>7.0000000000000007E-2</v>
      </c>
      <c r="W91" s="10" cm="1">
        <f t="array" ref="W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1" s="32">
        <v>0</v>
      </c>
      <c r="Y91" s="8">
        <v>6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8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9" t="b">
        <v>0</v>
      </c>
      <c r="AY91"/>
      <c r="AZ91"/>
      <c r="BA91"/>
    </row>
    <row r="92" spans="1:53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t="s">
        <v>1756</v>
      </c>
      <c r="F92" t="str">
        <f>_xlfn.XLOOKUP(PROPERTIES[[#This Row],[COUNTRY]],COUNTRIES[COUNTRY_DESCRIPTION],COUNTRIES[COUNTRY_LABEL],"")</f>
        <v>DK</v>
      </c>
      <c r="G92" t="str" cm="1">
        <f t="array" ref="G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2" t="s">
        <v>19</v>
      </c>
      <c r="I92">
        <v>0</v>
      </c>
      <c r="J92">
        <v>8</v>
      </c>
      <c r="K92">
        <v>4</v>
      </c>
      <c r="L92" t="str" cm="1">
        <f t="array" ref="L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2">
        <f>_xlfn.XLOOKUP("LOADINGSPEEDDEF_"&amp;PROPERTIES[[#This Row],[LOADINGSPEED]],LOADINGSPEEDDEF[TYPE],LOADINGSPEEDDEF[SPEED])</f>
        <v>20</v>
      </c>
      <c r="N92" cm="1">
        <f t="array" ref="N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2">
        <f>IF(ISNUMBER(SEARCH("passenger",PROPERTIES[[#This Row],[CARGODEF]])),1,0)</f>
        <v>0</v>
      </c>
      <c r="P92" s="29">
        <v>132</v>
      </c>
      <c r="Q92">
        <v>1600</v>
      </c>
      <c r="R92">
        <v>110</v>
      </c>
      <c r="S92" s="26">
        <v>0</v>
      </c>
      <c r="T92" s="25">
        <f>IFERROR(PROPERTIES[[#This Row],[TE_STARTING_KN]]/(PROPERTIES[[#This Row],[WEIGHT]]*9.81),0)</f>
        <v>0</v>
      </c>
      <c r="U92" s="25">
        <v>0.09</v>
      </c>
      <c r="V92" s="22">
        <f>ROUND(IF(IFERROR(PROPERTIES[[#This Row],[TE_COEFFICIENT_CALC]],0)=0,PROPERTIES[[#This Row],[TE_COEFFICIENT_MANUAL]],PROPERTIES[[#This Row],[TE_COEFFICIENT_CALC]]),3)</f>
        <v>0.09</v>
      </c>
      <c r="W92" s="10" cm="1">
        <f t="array" ref="W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2" s="32">
        <v>0</v>
      </c>
      <c r="Y92" s="8">
        <v>4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8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9" t="b">
        <v>0</v>
      </c>
      <c r="AY92"/>
      <c r="AZ92"/>
      <c r="BA92"/>
    </row>
    <row r="93" spans="1:53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t="s">
        <v>1754</v>
      </c>
      <c r="F93" t="str">
        <f>_xlfn.XLOOKUP(PROPERTIES[[#This Row],[COUNTRY]],COUNTRIES[COUNTRY_DESCRIPTION],COUNTRIES[COUNTRY_LABEL],"")</f>
        <v>DE</v>
      </c>
      <c r="G93" t="str" cm="1">
        <f t="array" ref="G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3" t="s">
        <v>19</v>
      </c>
      <c r="I93">
        <v>0</v>
      </c>
      <c r="J93">
        <v>8</v>
      </c>
      <c r="K93">
        <f>8+6</f>
        <v>14</v>
      </c>
      <c r="L93" t="str" cm="1">
        <f t="array" ref="L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">
        <f>_xlfn.XLOOKUP("LOADINGSPEEDDEF_"&amp;PROPERTIES[[#This Row],[LOADINGSPEED]],LOADINGSPEEDDEF[TYPE],LOADINGSPEEDDEF[SPEED])</f>
        <v>20</v>
      </c>
      <c r="N93" cm="1">
        <f t="array" ref="N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">
        <f>IF(ISNUMBER(SEARCH("passenger",PROPERTIES[[#This Row],[CARGODEF]])),1,0)</f>
        <v>0</v>
      </c>
      <c r="P93" s="29">
        <v>150</v>
      </c>
      <c r="Q93">
        <v>1600</v>
      </c>
      <c r="R93">
        <v>80</v>
      </c>
      <c r="S93" s="26">
        <v>0</v>
      </c>
      <c r="T93" s="25">
        <f>IFERROR(PROPERTIES[[#This Row],[TE_STARTING_KN]]/(PROPERTIES[[#This Row],[WEIGHT]]*9.81),0)</f>
        <v>0</v>
      </c>
      <c r="U93" s="25">
        <v>0.12</v>
      </c>
      <c r="V93" s="22">
        <f>ROUND(IF(IFERROR(PROPERTIES[[#This Row],[TE_COEFFICIENT_CALC]],0)=0,PROPERTIES[[#This Row],[TE_COEFFICIENT_MANUAL]],PROPERTIES[[#This Row],[TE_COEFFICIENT_CALC]]),3)</f>
        <v>0.12</v>
      </c>
      <c r="W93" s="10" cm="1">
        <f t="array" ref="W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3" s="32">
        <v>0</v>
      </c>
      <c r="Y93" s="8">
        <v>6</v>
      </c>
      <c r="Z93" t="s">
        <v>878</v>
      </c>
      <c r="AA93" t="s">
        <v>877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8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9" t="b">
        <v>0</v>
      </c>
      <c r="AY93"/>
      <c r="AZ93"/>
      <c r="BA93"/>
    </row>
    <row r="94" spans="1:53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t="s">
        <v>1773</v>
      </c>
      <c r="F94" t="str">
        <f>_xlfn.XLOOKUP(PROPERTIES[[#This Row],[COUNTRY]],COUNTRIES[COUNTRY_DESCRIPTION],COUNTRIES[COUNTRY_LABEL],"")</f>
        <v>GB</v>
      </c>
      <c r="G94" t="str" cm="1">
        <f t="array" ref="G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" t="s">
        <v>19</v>
      </c>
      <c r="I94">
        <v>0</v>
      </c>
      <c r="J94">
        <v>8</v>
      </c>
      <c r="K94">
        <f>8+5</f>
        <v>13</v>
      </c>
      <c r="L94" t="str" cm="1">
        <f t="array" ref="L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">
        <f>_xlfn.XLOOKUP("LOADINGSPEEDDEF_"&amp;PROPERTIES[[#This Row],[LOADINGSPEED]],LOADINGSPEEDDEF[TYPE],LOADINGSPEEDDEF[SPEED])</f>
        <v>20</v>
      </c>
      <c r="N94" cm="1">
        <f t="array" ref="N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">
        <f>IF(ISNUMBER(SEARCH("passenger",PROPERTIES[[#This Row],[CARGODEF]])),1,0)</f>
        <v>0</v>
      </c>
      <c r="P94" s="29">
        <v>162</v>
      </c>
      <c r="Q94">
        <v>2400</v>
      </c>
      <c r="R94">
        <v>160</v>
      </c>
      <c r="S94" s="26">
        <v>0</v>
      </c>
      <c r="T94" s="25">
        <f>IFERROR(PROPERTIES[[#This Row],[TE_STARTING_KN]]/(PROPERTIES[[#This Row],[WEIGHT]]*9.81),0)</f>
        <v>0</v>
      </c>
      <c r="U94" s="25">
        <v>0.11</v>
      </c>
      <c r="V94" s="22">
        <f>ROUND(IF(IFERROR(PROPERTIES[[#This Row],[TE_COEFFICIENT_CALC]],0)=0,PROPERTIES[[#This Row],[TE_COEFFICIENT_MANUAL]],PROPERTIES[[#This Row],[TE_COEFFICIENT_CALC]]),3)</f>
        <v>0.11</v>
      </c>
      <c r="W94" s="10" cm="1">
        <f t="array" ref="W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4" s="32">
        <v>0</v>
      </c>
      <c r="Y94" s="8">
        <v>5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8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9" t="b">
        <v>0</v>
      </c>
      <c r="AY94"/>
      <c r="AZ94"/>
      <c r="BA94"/>
    </row>
    <row r="95" spans="1:53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t="s">
        <v>1942</v>
      </c>
      <c r="F95" t="str">
        <f>_xlfn.XLOOKUP(PROPERTIES[[#This Row],[COUNTRY]],COUNTRIES[COUNTRY_DESCRIPTION],COUNTRIES[COUNTRY_LABEL],"")</f>
        <v>ZA</v>
      </c>
      <c r="G95" t="str" cm="1">
        <f t="array" ref="G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" t="s">
        <v>19</v>
      </c>
      <c r="I95">
        <v>0</v>
      </c>
      <c r="J95">
        <v>8</v>
      </c>
      <c r="K95">
        <f>8+5</f>
        <v>13</v>
      </c>
      <c r="L95" t="str" cm="1">
        <f t="array" ref="L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">
        <f>_xlfn.XLOOKUP("LOADINGSPEEDDEF_"&amp;PROPERTIES[[#This Row],[LOADINGSPEED]],LOADINGSPEEDDEF[TYPE],LOADINGSPEEDDEF[SPEED])</f>
        <v>20</v>
      </c>
      <c r="N95" cm="1">
        <f t="array" ref="N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">
        <f>IF(ISNUMBER(SEARCH("passenger",PROPERTIES[[#This Row],[CARGODEF]])),1,0)</f>
        <v>0</v>
      </c>
      <c r="P95" s="29">
        <v>231</v>
      </c>
      <c r="Q95">
        <v>3000</v>
      </c>
      <c r="R95">
        <v>100</v>
      </c>
      <c r="S95" s="26">
        <v>201</v>
      </c>
      <c r="T95" s="25">
        <f>IFERROR(PROPERTIES[[#This Row],[TE_STARTING_KN]]/(PROPERTIES[[#This Row],[WEIGHT]]*9.81),0)</f>
        <v>8.8698253835868504E-2</v>
      </c>
      <c r="U95" s="25">
        <v>0.08</v>
      </c>
      <c r="V95" s="22">
        <f>ROUND(IF(IFERROR(PROPERTIES[[#This Row],[TE_COEFFICIENT_CALC]],0)=0,PROPERTIES[[#This Row],[TE_COEFFICIENT_MANUAL]],PROPERTIES[[#This Row],[TE_COEFFICIENT_CALC]]),3)</f>
        <v>8.8999999999999996E-2</v>
      </c>
      <c r="W95" s="10" cm="1">
        <f t="array" ref="W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" s="32">
        <v>0</v>
      </c>
      <c r="Y95" s="8">
        <v>5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8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9" t="b">
        <v>0</v>
      </c>
      <c r="AY95"/>
      <c r="AZ95"/>
      <c r="BA95"/>
    </row>
    <row r="96" spans="1:53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t="s">
        <v>1887</v>
      </c>
      <c r="F96" t="str">
        <f>_xlfn.XLOOKUP(PROPERTIES[[#This Row],[COUNTRY]],COUNTRIES[COUNTRY_DESCRIPTION],COUNTRIES[COUNTRY_LABEL],"")</f>
        <v>RU</v>
      </c>
      <c r="G96" t="str" cm="1">
        <f t="array" ref="G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" t="s">
        <v>19</v>
      </c>
      <c r="I96">
        <v>0</v>
      </c>
      <c r="J96">
        <v>8</v>
      </c>
      <c r="K96">
        <v>14</v>
      </c>
      <c r="L96" t="str" cm="1">
        <f t="array" ref="L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">
        <f>_xlfn.XLOOKUP("LOADINGSPEEDDEF_"&amp;PROPERTIES[[#This Row],[LOADINGSPEED]],LOADINGSPEEDDEF[TYPE],LOADINGSPEEDDEF[SPEED])</f>
        <v>20</v>
      </c>
      <c r="N96" cm="1">
        <f t="array" ref="N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">
        <f>IF(ISNUMBER(SEARCH("passenger",PROPERTIES[[#This Row],[CARGODEF]])),1,0)</f>
        <v>0</v>
      </c>
      <c r="P96" s="29">
        <v>254</v>
      </c>
      <c r="Q96">
        <v>3000</v>
      </c>
      <c r="R96">
        <v>125</v>
      </c>
      <c r="S96" s="26">
        <v>176</v>
      </c>
      <c r="T96" s="25">
        <f>IFERROR(PROPERTIES[[#This Row],[TE_STARTING_KN]]/(PROPERTIES[[#This Row],[WEIGHT]]*9.81),0)</f>
        <v>7.0633372663279473E-2</v>
      </c>
      <c r="U96" s="25">
        <v>0.06</v>
      </c>
      <c r="V96" s="22">
        <f>ROUND(IF(IFERROR(PROPERTIES[[#This Row],[TE_COEFFICIENT_CALC]],0)=0,PROPERTIES[[#This Row],[TE_COEFFICIENT_MANUAL]],PROPERTIES[[#This Row],[TE_COEFFICIENT_CALC]]),3)</f>
        <v>7.0999999999999994E-2</v>
      </c>
      <c r="W96" s="10" cm="1">
        <f t="array" ref="W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6" s="32">
        <v>0</v>
      </c>
      <c r="Y96" s="8">
        <v>6</v>
      </c>
      <c r="Z96" t="s">
        <v>3514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8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9" t="b">
        <v>0</v>
      </c>
      <c r="AY96"/>
      <c r="AZ96"/>
      <c r="BA96"/>
    </row>
    <row r="97" spans="1:53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t="s">
        <v>1772</v>
      </c>
      <c r="F97" t="str">
        <f>_xlfn.XLOOKUP(PROPERTIES[[#This Row],[COUNTRY]],COUNTRIES[COUNTRY_DESCRIPTION],COUNTRIES[COUNTRY_LABEL],"")</f>
        <v>FR</v>
      </c>
      <c r="G97" t="str" cm="1">
        <f t="array" ref="G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" t="s">
        <v>19</v>
      </c>
      <c r="I97">
        <v>0</v>
      </c>
      <c r="J97">
        <v>8</v>
      </c>
      <c r="K97">
        <f>8+5</f>
        <v>13</v>
      </c>
      <c r="L97" t="str" cm="1">
        <f t="array" ref="L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">
        <f>_xlfn.XLOOKUP("LOADINGSPEEDDEF_"&amp;PROPERTIES[[#This Row],[LOADINGSPEED]],LOADINGSPEEDDEF[TYPE],LOADINGSPEEDDEF[SPEED])</f>
        <v>20</v>
      </c>
      <c r="N97" cm="1">
        <f t="array" ref="N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">
        <f>IF(ISNUMBER(SEARCH("passenger",PROPERTIES[[#This Row],[CARGODEF]])),1,0)</f>
        <v>0</v>
      </c>
      <c r="P97" s="29">
        <v>119</v>
      </c>
      <c r="Q97">
        <v>1500</v>
      </c>
      <c r="R97">
        <v>105</v>
      </c>
      <c r="S97" s="26">
        <v>253</v>
      </c>
      <c r="T97" s="25">
        <f>IFERROR(PROPERTIES[[#This Row],[TE_STARTING_KN]]/(PROPERTIES[[#This Row],[WEIGHT]]*9.81),0)</f>
        <v>0.21672277473680601</v>
      </c>
      <c r="U97" s="25">
        <v>0.22</v>
      </c>
      <c r="V97" s="22">
        <f>ROUND(IF(IFERROR(PROPERTIES[[#This Row],[TE_COEFFICIENT_CALC]],0)=0,PROPERTIES[[#This Row],[TE_COEFFICIENT_MANUAL]],PROPERTIES[[#This Row],[TE_COEFFICIENT_CALC]]),3)</f>
        <v>0.217</v>
      </c>
      <c r="W97" s="10" cm="1">
        <f t="array" ref="W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97" s="32">
        <v>0</v>
      </c>
      <c r="Y97" s="8">
        <v>5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8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9" t="b">
        <v>0</v>
      </c>
      <c r="AY97"/>
      <c r="AZ97"/>
      <c r="BA97"/>
    </row>
    <row r="98" spans="1:53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t="s">
        <v>1806</v>
      </c>
      <c r="F98" t="str">
        <f>_xlfn.XLOOKUP(PROPERTIES[[#This Row],[COUNTRY]],COUNTRIES[COUNTRY_DESCRIPTION],COUNTRIES[COUNTRY_LABEL],"")</f>
        <v>IT</v>
      </c>
      <c r="G98" t="str" cm="1">
        <f t="array" ref="G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8" t="s">
        <v>19</v>
      </c>
      <c r="I98">
        <v>0</v>
      </c>
      <c r="J98">
        <v>5</v>
      </c>
      <c r="K98">
        <v>5</v>
      </c>
      <c r="L98" t="str" cm="1">
        <f t="array" ref="L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">
        <f>_xlfn.XLOOKUP("LOADINGSPEEDDEF_"&amp;PROPERTIES[[#This Row],[LOADINGSPEED]],LOADINGSPEEDDEF[TYPE],LOADINGSPEEDDEF[SPEED])</f>
        <v>20</v>
      </c>
      <c r="N98" cm="1">
        <f t="array" ref="N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">
        <f>IF(ISNUMBER(SEARCH("passenger",PROPERTIES[[#This Row],[CARGODEF]])),1,0)</f>
        <v>0</v>
      </c>
      <c r="P98" s="29">
        <v>55</v>
      </c>
      <c r="Q98">
        <v>500</v>
      </c>
      <c r="R98">
        <v>40</v>
      </c>
      <c r="S98" s="26">
        <v>0</v>
      </c>
      <c r="T98" s="25">
        <f>IFERROR(PROPERTIES[[#This Row],[TE_STARTING_KN]]/(PROPERTIES[[#This Row],[WEIGHT]]*9.81),0)</f>
        <v>0</v>
      </c>
      <c r="U98" s="25">
        <v>0.21</v>
      </c>
      <c r="V98" s="22">
        <f>ROUND(IF(IFERROR(PROPERTIES[[#This Row],[TE_COEFFICIENT_CALC]],0)=0,PROPERTIES[[#This Row],[TE_COEFFICIENT_MANUAL]],PROPERTIES[[#This Row],[TE_COEFFICIENT_CALC]]),3)</f>
        <v>0.21</v>
      </c>
      <c r="W98" s="10" cm="1">
        <f t="array" ref="W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98" s="32">
        <v>0</v>
      </c>
      <c r="Y98" s="8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8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9" t="b">
        <v>0</v>
      </c>
      <c r="AY98"/>
      <c r="AZ98"/>
      <c r="BA98"/>
    </row>
    <row r="99" spans="1:53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t="s">
        <v>1875</v>
      </c>
      <c r="F99" t="str">
        <f>_xlfn.XLOOKUP(PROPERTIES[[#This Row],[COUNTRY]],COUNTRIES[COUNTRY_DESCRIPTION],COUNTRIES[COUNTRY_LABEL],"")</f>
        <v>PL</v>
      </c>
      <c r="G99" t="str" cm="1">
        <f t="array" ref="G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9" t="s">
        <v>19</v>
      </c>
      <c r="I99">
        <v>0</v>
      </c>
      <c r="J99">
        <v>7</v>
      </c>
      <c r="K99">
        <v>7</v>
      </c>
      <c r="L99" t="str" cm="1">
        <f t="array" ref="L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9">
        <f>_xlfn.XLOOKUP("LOADINGSPEEDDEF_"&amp;PROPERTIES[[#This Row],[LOADINGSPEED]],LOADINGSPEEDDEF[TYPE],LOADINGSPEEDDEF[SPEED])</f>
        <v>20</v>
      </c>
      <c r="N99" cm="1">
        <f t="array" ref="N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9">
        <f>IF(ISNUMBER(SEARCH("passenger",PROPERTIES[[#This Row],[CARGODEF]])),1,0)</f>
        <v>0</v>
      </c>
      <c r="P99" s="29">
        <v>118</v>
      </c>
      <c r="Q99">
        <v>1868</v>
      </c>
      <c r="R99">
        <v>75</v>
      </c>
      <c r="S99" s="26">
        <v>0</v>
      </c>
      <c r="T99" s="25">
        <f>IFERROR(PROPERTIES[[#This Row],[TE_STARTING_KN]]/(PROPERTIES[[#This Row],[WEIGHT]]*9.81),0)</f>
        <v>0</v>
      </c>
      <c r="U99" s="25">
        <v>0.11</v>
      </c>
      <c r="V99" s="22">
        <f>ROUND(IF(IFERROR(PROPERTIES[[#This Row],[TE_COEFFICIENT_CALC]],0)=0,PROPERTIES[[#This Row],[TE_COEFFICIENT_MANUAL]],PROPERTIES[[#This Row],[TE_COEFFICIENT_CALC]]),3)</f>
        <v>0.11</v>
      </c>
      <c r="W99" s="10" cm="1">
        <f t="array" ref="W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9" s="32">
        <v>0</v>
      </c>
      <c r="Y99" s="8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8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9" t="b">
        <v>0</v>
      </c>
      <c r="AY99"/>
      <c r="AZ99"/>
      <c r="BA99"/>
    </row>
    <row r="100" spans="1:53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t="s">
        <v>1740</v>
      </c>
      <c r="F100" t="str">
        <f>_xlfn.XLOOKUP(PROPERTIES[[#This Row],[COUNTRY]],COUNTRIES[COUNTRY_DESCRIPTION],COUNTRIES[COUNTRY_LABEL],"")</f>
        <v>CH</v>
      </c>
      <c r="G100" t="str" cm="1">
        <f t="array" ref="G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0" t="s">
        <v>19</v>
      </c>
      <c r="I100">
        <v>0</v>
      </c>
      <c r="J100">
        <v>8</v>
      </c>
      <c r="K100">
        <v>12</v>
      </c>
      <c r="L100" t="str" cm="1">
        <f t="array" ref="L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0">
        <f>_xlfn.XLOOKUP("LOADINGSPEEDDEF_"&amp;PROPERTIES[[#This Row],[LOADINGSPEED]],LOADINGSPEEDDEF[TYPE],LOADINGSPEEDDEF[SPEED])</f>
        <v>20</v>
      </c>
      <c r="N100" cm="1">
        <f t="array" ref="N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0">
        <f>IF(ISNUMBER(SEARCH("passenger",PROPERTIES[[#This Row],[CARGODEF]])),1,0)</f>
        <v>0</v>
      </c>
      <c r="P100" s="29">
        <v>151</v>
      </c>
      <c r="Q100">
        <v>1620</v>
      </c>
      <c r="R100">
        <v>65</v>
      </c>
      <c r="S100" s="26">
        <v>0</v>
      </c>
      <c r="T100" s="25">
        <f>IFERROR(PROPERTIES[[#This Row],[TE_STARTING_KN]]/(PROPERTIES[[#This Row],[WEIGHT]]*9.81),0)</f>
        <v>0</v>
      </c>
      <c r="U100" s="25">
        <v>0.12</v>
      </c>
      <c r="V100" s="22">
        <f>ROUND(IF(IFERROR(PROPERTIES[[#This Row],[TE_COEFFICIENT_CALC]],0)=0,PROPERTIES[[#This Row],[TE_COEFFICIENT_MANUAL]],PROPERTIES[[#This Row],[TE_COEFFICIENT_CALC]]),3)</f>
        <v>0.12</v>
      </c>
      <c r="W100" s="10" cm="1">
        <f t="array" ref="W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00" s="32">
        <v>0</v>
      </c>
      <c r="Y100" s="8">
        <v>4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8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9" t="b">
        <v>0</v>
      </c>
      <c r="AY100"/>
      <c r="AZ100"/>
      <c r="BA100"/>
    </row>
    <row r="101" spans="1:53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t="s">
        <v>1928</v>
      </c>
      <c r="F101" t="str">
        <f>_xlfn.XLOOKUP(PROPERTIES[[#This Row],[COUNTRY]],COUNTRIES[COUNTRY_DESCRIPTION],COUNTRIES[COUNTRY_LABEL],"")</f>
        <v>US</v>
      </c>
      <c r="G101" t="str" cm="1">
        <f t="array" ref="G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1" t="s">
        <v>19</v>
      </c>
      <c r="I101">
        <v>0</v>
      </c>
      <c r="J101">
        <v>8</v>
      </c>
      <c r="K101">
        <f>8+7</f>
        <v>15</v>
      </c>
      <c r="L101" t="str" cm="1">
        <f t="array" ref="L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1">
        <f>_xlfn.XLOOKUP("LOADINGSPEEDDEF_"&amp;PROPERTIES[[#This Row],[LOADINGSPEED]],LOADINGSPEEDDEF[TYPE],LOADINGSPEEDDEF[SPEED])</f>
        <v>20</v>
      </c>
      <c r="N101" cm="1">
        <f t="array" ref="N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1">
        <f>IF(ISNUMBER(SEARCH("passenger",PROPERTIES[[#This Row],[CARGODEF]])),1,0)</f>
        <v>0</v>
      </c>
      <c r="P101" s="29">
        <v>603</v>
      </c>
      <c r="Q101">
        <v>6290</v>
      </c>
      <c r="R101">
        <v>128</v>
      </c>
      <c r="S101" s="26">
        <v>0</v>
      </c>
      <c r="T101" s="25">
        <f>IFERROR(PROPERTIES[[#This Row],[TE_STARTING_KN]]/(PROPERTIES[[#This Row],[WEIGHT]]*9.81),0)</f>
        <v>0</v>
      </c>
      <c r="U101" s="25">
        <v>0.1</v>
      </c>
      <c r="V101" s="22">
        <f>ROUND(IF(IFERROR(PROPERTIES[[#This Row],[TE_COEFFICIENT_CALC]],0)=0,PROPERTIES[[#This Row],[TE_COEFFICIENT_MANUAL]],PROPERTIES[[#This Row],[TE_COEFFICIENT_CALC]]),3)</f>
        <v>0.1</v>
      </c>
      <c r="W101" s="10" cm="1">
        <f t="array" ref="W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1" s="32">
        <v>0</v>
      </c>
      <c r="Y101" s="8">
        <v>7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8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9" t="b">
        <v>0</v>
      </c>
      <c r="AY101"/>
      <c r="AZ101"/>
      <c r="BA101"/>
    </row>
    <row r="102" spans="1:53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t="s">
        <v>1862</v>
      </c>
      <c r="F102" t="str">
        <f>_xlfn.XLOOKUP(PROPERTIES[[#This Row],[COUNTRY]],COUNTRIES[COUNTRY_DESCRIPTION],COUNTRIES[COUNTRY_LABEL],"")</f>
        <v>NL</v>
      </c>
      <c r="G102" t="str" cm="1">
        <f t="array" ref="G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2" t="s">
        <v>19</v>
      </c>
      <c r="I102">
        <v>0</v>
      </c>
      <c r="J102">
        <v>4</v>
      </c>
      <c r="K102">
        <v>7</v>
      </c>
      <c r="L102" t="str" cm="1">
        <f t="array" ref="L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2">
        <f>_xlfn.XLOOKUP("LOADINGSPEEDDEF_"&amp;PROPERTIES[[#This Row],[LOADINGSPEED]],LOADINGSPEEDDEF[TYPE],LOADINGSPEEDDEF[SPEED])</f>
        <v>20</v>
      </c>
      <c r="N102" cm="1">
        <f t="array" ref="N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2">
        <f>IF(ISNUMBER(SEARCH("passenger",PROPERTIES[[#This Row],[CARGODEF]])),1,0)</f>
        <v>0</v>
      </c>
      <c r="P102" s="29">
        <f>48+32</f>
        <v>80</v>
      </c>
      <c r="Q102">
        <v>600</v>
      </c>
      <c r="R102">
        <v>90</v>
      </c>
      <c r="S102" s="26">
        <v>0</v>
      </c>
      <c r="T102" s="25">
        <f>IFERROR(PROPERTIES[[#This Row],[TE_STARTING_KN]]/(PROPERTIES[[#This Row],[WEIGHT]]*9.81),0)</f>
        <v>0</v>
      </c>
      <c r="U102" s="25">
        <v>0.08</v>
      </c>
      <c r="V102" s="22">
        <f>ROUND(IF(IFERROR(PROPERTIES[[#This Row],[TE_COEFFICIENT_CALC]],0)=0,PROPERTIES[[#This Row],[TE_COEFFICIENT_MANUAL]],PROPERTIES[[#This Row],[TE_COEFFICIENT_CALC]]),3)</f>
        <v>0.08</v>
      </c>
      <c r="W102" s="10" cm="1">
        <f t="array" ref="W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X102" s="32">
        <v>0</v>
      </c>
      <c r="Y102" s="8">
        <v>3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8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9" t="b">
        <v>0</v>
      </c>
      <c r="AY102"/>
      <c r="AZ102"/>
      <c r="BA102"/>
    </row>
    <row r="103" spans="1:53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t="s">
        <v>1773</v>
      </c>
      <c r="F103" t="str">
        <f>_xlfn.XLOOKUP(PROPERTIES[[#This Row],[COUNTRY]],COUNTRIES[COUNTRY_DESCRIPTION],COUNTRIES[COUNTRY_LABEL],"")</f>
        <v>GB</v>
      </c>
      <c r="G103" t="str" cm="1">
        <f t="array" ref="G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3" t="s">
        <v>19</v>
      </c>
      <c r="I103">
        <v>0</v>
      </c>
      <c r="J103">
        <v>8</v>
      </c>
      <c r="K103">
        <v>12</v>
      </c>
      <c r="L103" t="str" cm="1">
        <f t="array" ref="L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3">
        <f>_xlfn.XLOOKUP("LOADINGSPEEDDEF_"&amp;PROPERTIES[[#This Row],[LOADINGSPEED]],LOADINGSPEEDDEF[TYPE],LOADINGSPEEDDEF[SPEED])</f>
        <v>20</v>
      </c>
      <c r="N103" cm="1">
        <f t="array" ref="N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3">
        <f>IF(ISNUMBER(SEARCH("passenger",PROPERTIES[[#This Row],[CARGODEF]])),1,0)</f>
        <v>0</v>
      </c>
      <c r="P103" s="29">
        <v>65</v>
      </c>
      <c r="Q103">
        <v>450</v>
      </c>
      <c r="R103">
        <v>128</v>
      </c>
      <c r="S103" s="26">
        <v>0</v>
      </c>
      <c r="T103" s="25">
        <f>IFERROR(PROPERTIES[[#This Row],[TE_STARTING_KN]]/(PROPERTIES[[#This Row],[WEIGHT]]*9.81),0)</f>
        <v>0</v>
      </c>
      <c r="U103" s="25">
        <v>0.06</v>
      </c>
      <c r="V103" s="22">
        <f>ROUND(IF(IFERROR(PROPERTIES[[#This Row],[TE_COEFFICIENT_CALC]],0)=0,PROPERTIES[[#This Row],[TE_COEFFICIENT_MANUAL]],PROPERTIES[[#This Row],[TE_COEFFICIENT_CALC]]),3)</f>
        <v>0.06</v>
      </c>
      <c r="W103" s="10" cm="1">
        <f t="array" ref="W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3" s="32">
        <v>0</v>
      </c>
      <c r="Y103" s="8">
        <v>4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8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9" t="b">
        <v>0</v>
      </c>
      <c r="AY103"/>
      <c r="AZ103"/>
      <c r="BA103"/>
    </row>
    <row r="104" spans="1:53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t="s">
        <v>1710</v>
      </c>
      <c r="F104" t="str">
        <f>_xlfn.XLOOKUP(PROPERTIES[[#This Row],[COUNTRY]],COUNTRIES[COUNTRY_DESCRIPTION],COUNTRIES[COUNTRY_LABEL],"")</f>
        <v>AU</v>
      </c>
      <c r="G104" t="str" cm="1">
        <f t="array" ref="G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4" t="s">
        <v>19</v>
      </c>
      <c r="I104">
        <v>0</v>
      </c>
      <c r="J104">
        <v>5</v>
      </c>
      <c r="K104">
        <v>9</v>
      </c>
      <c r="L104" t="str" cm="1">
        <f t="array" ref="L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4">
        <f>_xlfn.XLOOKUP("LOADINGSPEEDDEF_"&amp;PROPERTIES[[#This Row],[LOADINGSPEED]],LOADINGSPEEDDEF[TYPE],LOADINGSPEEDDEF[SPEED])</f>
        <v>20</v>
      </c>
      <c r="N104" cm="1">
        <f t="array" ref="N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4">
        <f>IF(ISNUMBER(SEARCH("passenger",PROPERTIES[[#This Row],[CARGODEF]])),1,0)</f>
        <v>0</v>
      </c>
      <c r="P104" s="29">
        <v>45</v>
      </c>
      <c r="Q104">
        <v>160</v>
      </c>
      <c r="R104">
        <v>55</v>
      </c>
      <c r="S104" s="26">
        <v>40</v>
      </c>
      <c r="T104" s="25">
        <f>IFERROR(PROPERTIES[[#This Row],[TE_STARTING_KN]]/(PROPERTIES[[#This Row],[WEIGHT]]*9.81),0)</f>
        <v>9.0610488164004979E-2</v>
      </c>
      <c r="U104" s="25">
        <v>0.08</v>
      </c>
      <c r="V104" s="22">
        <f>ROUND(IF(IFERROR(PROPERTIES[[#This Row],[TE_COEFFICIENT_CALC]],0)=0,PROPERTIES[[#This Row],[TE_COEFFICIENT_MANUAL]],PROPERTIES[[#This Row],[TE_COEFFICIENT_CALC]]),3)</f>
        <v>9.0999999999999998E-2</v>
      </c>
      <c r="W104" s="10" cm="1">
        <f t="array" ref="W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4" s="32">
        <v>0</v>
      </c>
      <c r="Y104" s="8">
        <v>4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8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9" t="b">
        <v>0</v>
      </c>
      <c r="AY104"/>
      <c r="AZ104"/>
      <c r="BA104"/>
    </row>
    <row r="105" spans="1:53">
      <c r="A105" s="2" t="s">
        <v>125</v>
      </c>
      <c r="B105">
        <v>1863</v>
      </c>
      <c r="C105">
        <v>1895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t="s">
        <v>1928</v>
      </c>
      <c r="F105" t="str">
        <f>_xlfn.XLOOKUP(PROPERTIES[[#This Row],[COUNTRY]],COUNTRIES[COUNTRY_DESCRIPTION],COUNTRIES[COUNTRY_LABEL],"")</f>
        <v>US</v>
      </c>
      <c r="G105" t="str" cm="1">
        <f t="array" ref="G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5" t="s">
        <v>19</v>
      </c>
      <c r="I105">
        <v>0</v>
      </c>
      <c r="J105">
        <v>5</v>
      </c>
      <c r="K105">
        <v>8</v>
      </c>
      <c r="L105" t="str" cm="1">
        <f t="array" ref="L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5">
        <f>_xlfn.XLOOKUP("LOADINGSPEEDDEF_"&amp;PROPERTIES[[#This Row],[LOADINGSPEED]],LOADINGSPEEDDEF[TYPE],LOADINGSPEEDDEF[SPEED])</f>
        <v>20</v>
      </c>
      <c r="N105" cm="1">
        <f t="array" ref="N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5">
        <f>IF(ISNUMBER(SEARCH("passenger",PROPERTIES[[#This Row],[CARGODEF]])),1,0)</f>
        <v>0</v>
      </c>
      <c r="P105" s="29">
        <v>45</v>
      </c>
      <c r="Q105">
        <v>126</v>
      </c>
      <c r="R105">
        <v>65</v>
      </c>
      <c r="S105" s="26">
        <v>34.6</v>
      </c>
      <c r="T105" s="25">
        <f>IFERROR(PROPERTIES[[#This Row],[TE_STARTING_KN]]/(PROPERTIES[[#This Row],[WEIGHT]]*9.81),0)</f>
        <v>7.8378072261864301E-2</v>
      </c>
      <c r="U105" s="25">
        <v>0.14000000000000001</v>
      </c>
      <c r="V105" s="22">
        <f>ROUND(IF(IFERROR(PROPERTIES[[#This Row],[TE_COEFFICIENT_CALC]],0)=0,PROPERTIES[[#This Row],[TE_COEFFICIENT_MANUAL]],PROPERTIES[[#This Row],[TE_COEFFICIENT_CALC]]),3)</f>
        <v>7.8E-2</v>
      </c>
      <c r="W105" s="10" cm="1">
        <f t="array" ref="W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05" s="32">
        <v>0</v>
      </c>
      <c r="Y105" s="8">
        <v>3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8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9" t="b">
        <v>0</v>
      </c>
      <c r="AY105"/>
      <c r="AZ105"/>
      <c r="BA105"/>
    </row>
    <row r="106" spans="1:53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t="s">
        <v>1862</v>
      </c>
      <c r="F106" t="str">
        <f>_xlfn.XLOOKUP(PROPERTIES[[#This Row],[COUNTRY]],COUNTRIES[COUNTRY_DESCRIPTION],COUNTRIES[COUNTRY_LABEL],"")</f>
        <v>NL</v>
      </c>
      <c r="G106" t="str" cm="1">
        <f t="array" ref="G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6" t="s">
        <v>19</v>
      </c>
      <c r="I106">
        <v>0</v>
      </c>
      <c r="J106">
        <v>6</v>
      </c>
      <c r="K106">
        <v>9</v>
      </c>
      <c r="L106" t="str" cm="1">
        <f t="array" ref="L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6">
        <f>_xlfn.XLOOKUP("LOADINGSPEEDDEF_"&amp;PROPERTIES[[#This Row],[LOADINGSPEED]],LOADINGSPEEDDEF[TYPE],LOADINGSPEEDDEF[SPEED])</f>
        <v>20</v>
      </c>
      <c r="N106" cm="1">
        <f t="array" ref="N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6">
        <f>IF(ISNUMBER(SEARCH("passenger",PROPERTIES[[#This Row],[CARGODEF]])),1,0)</f>
        <v>0</v>
      </c>
      <c r="P106" s="29">
        <v>49</v>
      </c>
      <c r="Q106">
        <v>320</v>
      </c>
      <c r="R106">
        <v>90</v>
      </c>
      <c r="S106" s="26">
        <v>0</v>
      </c>
      <c r="T106" s="25">
        <f>IFERROR(PROPERTIES[[#This Row],[TE_STARTING_KN]]/(PROPERTIES[[#This Row],[WEIGHT]]*9.81),0)</f>
        <v>0</v>
      </c>
      <c r="U106" s="25">
        <v>7.0000000000000007E-2</v>
      </c>
      <c r="V106" s="22">
        <f>ROUND(IF(IFERROR(PROPERTIES[[#This Row],[TE_COEFFICIENT_CALC]],0)=0,PROPERTIES[[#This Row],[TE_COEFFICIENT_MANUAL]],PROPERTIES[[#This Row],[TE_COEFFICIENT_CALC]]),3)</f>
        <v>7.0000000000000007E-2</v>
      </c>
      <c r="W106" s="10" cm="1">
        <f t="array" ref="W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106" s="32">
        <v>0</v>
      </c>
      <c r="Y106" s="8">
        <v>3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8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9" t="b">
        <v>0</v>
      </c>
      <c r="AY106"/>
      <c r="AZ106"/>
      <c r="BA106"/>
    </row>
    <row r="107" spans="1:53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t="s">
        <v>1942</v>
      </c>
      <c r="F107" t="str">
        <f>_xlfn.XLOOKUP(PROPERTIES[[#This Row],[COUNTRY]],COUNTRIES[COUNTRY_DESCRIPTION],COUNTRIES[COUNTRY_LABEL],"")</f>
        <v>ZA</v>
      </c>
      <c r="G107" t="str" cm="1">
        <f t="array" ref="G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7" t="s">
        <v>19</v>
      </c>
      <c r="I107">
        <v>0</v>
      </c>
      <c r="J107">
        <v>5</v>
      </c>
      <c r="K107">
        <v>5</v>
      </c>
      <c r="L107" t="str" cm="1">
        <f t="array" ref="L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7">
        <f>_xlfn.XLOOKUP("LOADINGSPEEDDEF_"&amp;PROPERTIES[[#This Row],[LOADINGSPEED]],LOADINGSPEEDDEF[TYPE],LOADINGSPEEDDEF[SPEED])</f>
        <v>20</v>
      </c>
      <c r="N107" cm="1">
        <f t="array" ref="N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7">
        <f>IF(ISNUMBER(SEARCH("passenger",PROPERTIES[[#This Row],[CARGODEF]])),1,0)</f>
        <v>0</v>
      </c>
      <c r="P107" s="29">
        <v>30</v>
      </c>
      <c r="Q107">
        <v>240</v>
      </c>
      <c r="R107">
        <v>55</v>
      </c>
      <c r="S107" s="26">
        <v>44</v>
      </c>
      <c r="T107" s="25">
        <f>IFERROR(PROPERTIES[[#This Row],[TE_STARTING_KN]]/(PROPERTIES[[#This Row],[WEIGHT]]*9.81),0)</f>
        <v>0.14950730547060823</v>
      </c>
      <c r="U107" s="25">
        <v>0.17</v>
      </c>
      <c r="V107" s="22">
        <f>ROUND(IF(IFERROR(PROPERTIES[[#This Row],[TE_COEFFICIENT_CALC]],0)=0,PROPERTIES[[#This Row],[TE_COEFFICIENT_MANUAL]],PROPERTIES[[#This Row],[TE_COEFFICIENT_CALC]]),3)</f>
        <v>0.15</v>
      </c>
      <c r="W107" s="10" cm="1">
        <f t="array" ref="W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X107" s="32">
        <v>0</v>
      </c>
      <c r="Y107" s="8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8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9" t="b">
        <v>0</v>
      </c>
      <c r="AY107"/>
      <c r="AZ107"/>
      <c r="BA107"/>
    </row>
    <row r="108" spans="1:53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t="s">
        <v>1710</v>
      </c>
      <c r="F108" t="str">
        <f>_xlfn.XLOOKUP(PROPERTIES[[#This Row],[COUNTRY]],COUNTRIES[COUNTRY_DESCRIPTION],COUNTRIES[COUNTRY_LABEL],"")</f>
        <v>AU</v>
      </c>
      <c r="G108" t="str" cm="1">
        <f t="array" ref="G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8" t="s">
        <v>19</v>
      </c>
      <c r="I108">
        <v>0</v>
      </c>
      <c r="J108">
        <v>7</v>
      </c>
      <c r="K108">
        <v>11</v>
      </c>
      <c r="L108" t="str" cm="1">
        <f t="array" ref="L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8">
        <f>_xlfn.XLOOKUP("LOADINGSPEEDDEF_"&amp;PROPERTIES[[#This Row],[LOADINGSPEED]],LOADINGSPEEDDEF[TYPE],LOADINGSPEEDDEF[SPEED])</f>
        <v>20</v>
      </c>
      <c r="N108" cm="1">
        <f t="array" ref="N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8">
        <f>IF(ISNUMBER(SEARCH("passenger",PROPERTIES[[#This Row],[CARGODEF]])),1,0)</f>
        <v>0</v>
      </c>
      <c r="P108" s="29">
        <v>75</v>
      </c>
      <c r="Q108">
        <v>650</v>
      </c>
      <c r="R108">
        <v>80</v>
      </c>
      <c r="S108" s="26">
        <v>98.1</v>
      </c>
      <c r="T108" s="25">
        <f>IFERROR(PROPERTIES[[#This Row],[TE_STARTING_KN]]/(PROPERTIES[[#This Row],[WEIGHT]]*9.81),0)</f>
        <v>0.13333333333333333</v>
      </c>
      <c r="U108" s="25">
        <v>0.14000000000000001</v>
      </c>
      <c r="V108" s="22">
        <f>ROUND(IF(IFERROR(PROPERTIES[[#This Row],[TE_COEFFICIENT_CALC]],0)=0,PROPERTIES[[#This Row],[TE_COEFFICIENT_MANUAL]],PROPERTIES[[#This Row],[TE_COEFFICIENT_CALC]]),3)</f>
        <v>0.13300000000000001</v>
      </c>
      <c r="W108" s="10" cm="1">
        <f t="array" ref="W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108" s="32">
        <v>0</v>
      </c>
      <c r="Y108" s="8">
        <v>4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8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9" t="b">
        <v>0</v>
      </c>
      <c r="AY108"/>
      <c r="AZ108"/>
      <c r="BA108"/>
    </row>
    <row r="109" spans="1:53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t="s">
        <v>1735</v>
      </c>
      <c r="F109" t="str">
        <f>_xlfn.XLOOKUP(PROPERTIES[[#This Row],[COUNTRY]],COUNTRIES[COUNTRY_DESCRIPTION],COUNTRIES[COUNTRY_LABEL],"")</f>
        <v>CA</v>
      </c>
      <c r="G109" t="str" cm="1">
        <f t="array" ref="G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9" t="s">
        <v>19</v>
      </c>
      <c r="I109">
        <v>0</v>
      </c>
      <c r="J109">
        <v>6</v>
      </c>
      <c r="K109">
        <v>10</v>
      </c>
      <c r="L109" t="str" cm="1">
        <f t="array" ref="L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9">
        <f>_xlfn.XLOOKUP("LOADINGSPEEDDEF_"&amp;PROPERTIES[[#This Row],[LOADINGSPEED]],LOADINGSPEEDDEF[TYPE],LOADINGSPEEDDEF[SPEED])</f>
        <v>20</v>
      </c>
      <c r="N109" cm="1">
        <f t="array" ref="N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9">
        <f>IF(ISNUMBER(SEARCH("passenger",PROPERTIES[[#This Row],[CARGODEF]])),1,0)</f>
        <v>0</v>
      </c>
      <c r="P109" s="29">
        <v>82</v>
      </c>
      <c r="Q109">
        <v>380</v>
      </c>
      <c r="R109">
        <v>80</v>
      </c>
      <c r="S109" s="26">
        <v>67</v>
      </c>
      <c r="T109" s="25">
        <f>IFERROR(PROPERTIES[[#This Row],[TE_STARTING_KN]]/(PROPERTIES[[#This Row],[WEIGHT]]*9.81),0)</f>
        <v>8.3289823723925308E-2</v>
      </c>
      <c r="U109" s="25">
        <v>0.13</v>
      </c>
      <c r="V109" s="22">
        <f>ROUND(IF(IFERROR(PROPERTIES[[#This Row],[TE_COEFFICIENT_CALC]],0)=0,PROPERTIES[[#This Row],[TE_COEFFICIENT_MANUAL]],PROPERTIES[[#This Row],[TE_COEFFICIENT_CALC]]),3)</f>
        <v>8.3000000000000004E-2</v>
      </c>
      <c r="W109" s="10" cm="1">
        <f t="array" ref="W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9" s="32">
        <v>0</v>
      </c>
      <c r="Y109" s="8">
        <v>4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8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9" t="b">
        <v>0</v>
      </c>
      <c r="AY109"/>
      <c r="AZ109"/>
      <c r="BA109"/>
    </row>
    <row r="110" spans="1:53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t="s">
        <v>1942</v>
      </c>
      <c r="F110" t="str">
        <f>_xlfn.XLOOKUP(PROPERTIES[[#This Row],[COUNTRY]],COUNTRIES[COUNTRY_DESCRIPTION],COUNTRIES[COUNTRY_LABEL],"")</f>
        <v>ZA</v>
      </c>
      <c r="G110" t="str" cm="1">
        <f t="array" ref="G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0" t="s">
        <v>19</v>
      </c>
      <c r="I110">
        <v>0</v>
      </c>
      <c r="J110">
        <v>5</v>
      </c>
      <c r="K110">
        <v>5</v>
      </c>
      <c r="L110" t="str" cm="1">
        <f t="array" ref="L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0">
        <f>_xlfn.XLOOKUP("LOADINGSPEEDDEF_"&amp;PROPERTIES[[#This Row],[LOADINGSPEED]],LOADINGSPEEDDEF[TYPE],LOADINGSPEEDDEF[SPEED])</f>
        <v>20</v>
      </c>
      <c r="N110" cm="1">
        <f t="array" ref="N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0">
        <f>IF(ISNUMBER(SEARCH("passenger",PROPERTIES[[#This Row],[CARGODEF]])),1,0)</f>
        <v>0</v>
      </c>
      <c r="P110" s="29">
        <v>36</v>
      </c>
      <c r="Q110">
        <v>220</v>
      </c>
      <c r="R110">
        <v>60</v>
      </c>
      <c r="S110" s="26">
        <v>41.6</v>
      </c>
      <c r="T110" s="25">
        <f>IFERROR(PROPERTIES[[#This Row],[TE_STARTING_KN]]/(PROPERTIES[[#This Row],[WEIGHT]]*9.81),0)</f>
        <v>0.11779363461320648</v>
      </c>
      <c r="U110" s="25">
        <v>0.12</v>
      </c>
      <c r="V110" s="22">
        <f>ROUND(IF(IFERROR(PROPERTIES[[#This Row],[TE_COEFFICIENT_CALC]],0)=0,PROPERTIES[[#This Row],[TE_COEFFICIENT_MANUAL]],PROPERTIES[[#This Row],[TE_COEFFICIENT_CALC]]),3)</f>
        <v>0.11799999999999999</v>
      </c>
      <c r="W110" s="10" cm="1">
        <f t="array" ref="W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0" s="32">
        <v>0</v>
      </c>
      <c r="Y110" s="8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8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9" t="b">
        <v>0</v>
      </c>
      <c r="AY110"/>
      <c r="AZ110"/>
      <c r="BA110"/>
    </row>
    <row r="111" spans="1:53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t="s">
        <v>1765</v>
      </c>
      <c r="F111" t="str">
        <f>_xlfn.XLOOKUP(PROPERTIES[[#This Row],[COUNTRY]],COUNTRIES[COUNTRY_DESCRIPTION],COUNTRIES[COUNTRY_LABEL],"")</f>
        <v>ES</v>
      </c>
      <c r="G111" t="str" cm="1">
        <f t="array" ref="G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1" t="s">
        <v>19</v>
      </c>
      <c r="I111">
        <v>0</v>
      </c>
      <c r="J111">
        <v>6</v>
      </c>
      <c r="K111">
        <v>9</v>
      </c>
      <c r="L111" t="str" cm="1">
        <f t="array" ref="L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1">
        <f>_xlfn.XLOOKUP("LOADINGSPEEDDEF_"&amp;PROPERTIES[[#This Row],[LOADINGSPEED]],LOADINGSPEEDDEF[TYPE],LOADINGSPEEDDEF[SPEED])</f>
        <v>20</v>
      </c>
      <c r="N111" cm="1">
        <f t="array" ref="N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1">
        <f>IF(ISNUMBER(SEARCH("passenger",PROPERTIES[[#This Row],[CARGODEF]])),1,0)</f>
        <v>0</v>
      </c>
      <c r="P111" s="29">
        <v>88.5</v>
      </c>
      <c r="Q111">
        <v>750</v>
      </c>
      <c r="R111">
        <v>55</v>
      </c>
      <c r="S111" s="26">
        <v>118</v>
      </c>
      <c r="T111" s="25">
        <f>IFERROR(PROPERTIES[[#This Row],[TE_STARTING_KN]]/(PROPERTIES[[#This Row],[WEIGHT]]*9.81),0)</f>
        <v>0.13591573224600748</v>
      </c>
      <c r="U111" s="25">
        <v>0.1</v>
      </c>
      <c r="V111" s="22">
        <f>ROUND(IF(IFERROR(PROPERTIES[[#This Row],[TE_COEFFICIENT_CALC]],0)=0,PROPERTIES[[#This Row],[TE_COEFFICIENT_MANUAL]],PROPERTIES[[#This Row],[TE_COEFFICIENT_CALC]]),3)</f>
        <v>0.13600000000000001</v>
      </c>
      <c r="W111" s="10" cm="1">
        <f t="array" ref="W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111" s="32">
        <v>0</v>
      </c>
      <c r="Y111" s="8">
        <v>3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8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9" t="b">
        <v>0</v>
      </c>
      <c r="AY111"/>
      <c r="AZ111"/>
      <c r="BA111"/>
    </row>
    <row r="112" spans="1:53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t="s">
        <v>1754</v>
      </c>
      <c r="F112" t="str">
        <f>_xlfn.XLOOKUP(PROPERTIES[[#This Row],[COUNTRY]],COUNTRIES[COUNTRY_DESCRIPTION],COUNTRIES[COUNTRY_LABEL],"")</f>
        <v>DE</v>
      </c>
      <c r="G112" t="str" cm="1">
        <f t="array" ref="G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2" t="s">
        <v>19</v>
      </c>
      <c r="I112">
        <v>0</v>
      </c>
      <c r="J112">
        <v>6</v>
      </c>
      <c r="K112">
        <v>6</v>
      </c>
      <c r="L112" t="str" cm="1">
        <f t="array" ref="L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2">
        <f>_xlfn.XLOOKUP("LOADINGSPEEDDEF_"&amp;PROPERTIES[[#This Row],[LOADINGSPEED]],LOADINGSPEEDDEF[TYPE],LOADINGSPEEDDEF[SPEED])</f>
        <v>20</v>
      </c>
      <c r="N112" cm="1">
        <f t="array" ref="N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2">
        <f>IF(ISNUMBER(SEARCH("passenger",PROPERTIES[[#This Row],[CARGODEF]])),1,0)</f>
        <v>0</v>
      </c>
      <c r="P112" s="29">
        <v>27</v>
      </c>
      <c r="Q112">
        <v>206</v>
      </c>
      <c r="R112">
        <v>30</v>
      </c>
      <c r="S112" s="26">
        <v>42.17</v>
      </c>
      <c r="T112" s="25">
        <f>IFERROR(PROPERTIES[[#This Row],[TE_STARTING_KN]]/(PROPERTIES[[#This Row],[WEIGHT]]*9.81),0)</f>
        <v>0.15921017857817044</v>
      </c>
      <c r="U112" s="25">
        <v>0.14000000000000001</v>
      </c>
      <c r="V112" s="22">
        <f>ROUND(IF(IFERROR(PROPERTIES[[#This Row],[TE_COEFFICIENT_CALC]],0)=0,PROPERTIES[[#This Row],[TE_COEFFICIENT_MANUAL]],PROPERTIES[[#This Row],[TE_COEFFICIENT_CALC]]),3)</f>
        <v>0.159</v>
      </c>
      <c r="W112" s="10" cm="1">
        <f t="array" ref="W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112" s="32">
        <v>0</v>
      </c>
      <c r="Y112" s="8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8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9" t="b">
        <v>0</v>
      </c>
      <c r="AY112"/>
      <c r="AZ112"/>
      <c r="BA112"/>
    </row>
    <row r="113" spans="1:53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t="s">
        <v>1754</v>
      </c>
      <c r="F113" t="str">
        <f>_xlfn.XLOOKUP(PROPERTIES[[#This Row],[COUNTRY]],COUNTRIES[COUNTRY_DESCRIPTION],COUNTRIES[COUNTRY_LABEL],"")</f>
        <v>DE</v>
      </c>
      <c r="G113" t="str" cm="1">
        <f t="array" ref="G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3" t="s">
        <v>19</v>
      </c>
      <c r="I113">
        <v>0</v>
      </c>
      <c r="J113">
        <v>7</v>
      </c>
      <c r="K113">
        <v>11</v>
      </c>
      <c r="L113" t="str" cm="1">
        <f t="array" ref="L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3">
        <f>_xlfn.XLOOKUP("LOADINGSPEEDDEF_"&amp;PROPERTIES[[#This Row],[LOADINGSPEED]],LOADINGSPEEDDEF[TYPE],LOADINGSPEEDDEF[SPEED])</f>
        <v>20</v>
      </c>
      <c r="N113" cm="1">
        <f t="array" ref="N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3">
        <f>IF(ISNUMBER(SEARCH("passenger",PROPERTIES[[#This Row],[CARGODEF]])),1,0)</f>
        <v>0</v>
      </c>
      <c r="P113" s="29">
        <v>50.5</v>
      </c>
      <c r="Q113">
        <v>580</v>
      </c>
      <c r="R113">
        <v>100</v>
      </c>
      <c r="S113" s="26">
        <v>64</v>
      </c>
      <c r="T113" s="25">
        <f>IFERROR(PROPERTIES[[#This Row],[TE_STARTING_KN]]/(PROPERTIES[[#This Row],[WEIGHT]]*9.81),0)</f>
        <v>0.12918723064967047</v>
      </c>
      <c r="U113" s="25">
        <v>0.13</v>
      </c>
      <c r="V113" s="22">
        <f>ROUND(IF(IFERROR(PROPERTIES[[#This Row],[TE_COEFFICIENT_CALC]],0)=0,PROPERTIES[[#This Row],[TE_COEFFICIENT_MANUAL]],PROPERTIES[[#This Row],[TE_COEFFICIENT_CALC]]),3)</f>
        <v>0.129</v>
      </c>
      <c r="W113" s="10" cm="1">
        <f t="array" ref="W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113" s="32">
        <v>0</v>
      </c>
      <c r="Y113" s="8">
        <v>4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8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9" t="b">
        <v>0</v>
      </c>
      <c r="AY113"/>
      <c r="AZ113"/>
      <c r="BA113"/>
    </row>
    <row r="114" spans="1:53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t="s">
        <v>1863</v>
      </c>
      <c r="F114" t="str">
        <f>_xlfn.XLOOKUP(PROPERTIES[[#This Row],[COUNTRY]],COUNTRIES[COUNTRY_DESCRIPTION],COUNTRIES[COUNTRY_LABEL],"")</f>
        <v>NO</v>
      </c>
      <c r="G114" t="str" cm="1">
        <f t="array" ref="G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4" t="s">
        <v>19</v>
      </c>
      <c r="I114">
        <v>0</v>
      </c>
      <c r="J114">
        <v>7</v>
      </c>
      <c r="K114">
        <v>7</v>
      </c>
      <c r="L114" t="str" cm="1">
        <f t="array" ref="L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4">
        <f>_xlfn.XLOOKUP("LOADINGSPEEDDEF_"&amp;PROPERTIES[[#This Row],[LOADINGSPEED]],LOADINGSPEEDDEF[TYPE],LOADINGSPEEDDEF[SPEED])</f>
        <v>20</v>
      </c>
      <c r="N114" cm="1">
        <f t="array" ref="N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4">
        <f>IF(ISNUMBER(SEARCH("passenger",PROPERTIES[[#This Row],[CARGODEF]])),1,0)</f>
        <v>0</v>
      </c>
      <c r="P114" s="29">
        <v>77.599999999999994</v>
      </c>
      <c r="Q114">
        <v>700</v>
      </c>
      <c r="R114">
        <v>60</v>
      </c>
      <c r="S114" s="26">
        <v>82.56</v>
      </c>
      <c r="T114" s="25">
        <f>IFERROR(PROPERTIES[[#This Row],[TE_STARTING_KN]]/(PROPERTIES[[#This Row],[WEIGHT]]*9.81),0)</f>
        <v>0.10845234717361835</v>
      </c>
      <c r="U114" s="25">
        <v>0.17</v>
      </c>
      <c r="V114" s="22">
        <f>ROUND(IF(IFERROR(PROPERTIES[[#This Row],[TE_COEFFICIENT_CALC]],0)=0,PROPERTIES[[#This Row],[TE_COEFFICIENT_MANUAL]],PROPERTIES[[#This Row],[TE_COEFFICIENT_CALC]]),3)</f>
        <v>0.108</v>
      </c>
      <c r="W114" s="10" cm="1">
        <f t="array" ref="W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4" s="32">
        <v>0</v>
      </c>
      <c r="Y114" s="8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8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9" t="b">
        <v>0</v>
      </c>
      <c r="AY114"/>
      <c r="AZ114"/>
      <c r="BA114"/>
    </row>
    <row r="115" spans="1:53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t="s">
        <v>1928</v>
      </c>
      <c r="F115" t="str">
        <f>_xlfn.XLOOKUP(PROPERTIES[[#This Row],[COUNTRY]],COUNTRIES[COUNTRY_DESCRIPTION],COUNTRIES[COUNTRY_LABEL],"")</f>
        <v>US</v>
      </c>
      <c r="G115" t="str" cm="1">
        <f t="array" ref="G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5" t="s">
        <v>19</v>
      </c>
      <c r="I115">
        <v>0</v>
      </c>
      <c r="J115">
        <v>7</v>
      </c>
      <c r="K115">
        <v>11</v>
      </c>
      <c r="L115" t="str" cm="1">
        <f t="array" ref="L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5">
        <f>_xlfn.XLOOKUP("LOADINGSPEEDDEF_"&amp;PROPERTIES[[#This Row],[LOADINGSPEED]],LOADINGSPEEDDEF[TYPE],LOADINGSPEEDDEF[SPEED])</f>
        <v>20</v>
      </c>
      <c r="N115" cm="1">
        <f t="array" ref="N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5">
        <f>IF(ISNUMBER(SEARCH("passenger",PROPERTIES[[#This Row],[CARGODEF]])),1,0)</f>
        <v>0</v>
      </c>
      <c r="P115" s="29">
        <v>106.5</v>
      </c>
      <c r="Q115">
        <v>850</v>
      </c>
      <c r="R115">
        <v>128</v>
      </c>
      <c r="S115" s="26">
        <v>77.84</v>
      </c>
      <c r="T115" s="25">
        <f>IFERROR(PROPERTIES[[#This Row],[TE_STARTING_KN]]/(PROPERTIES[[#This Row],[WEIGHT]]*9.81),0)</f>
        <v>7.4504792943867762E-2</v>
      </c>
      <c r="U115" s="25">
        <v>0.17</v>
      </c>
      <c r="V115" s="22">
        <f>ROUND(IF(IFERROR(PROPERTIES[[#This Row],[TE_COEFFICIENT_CALC]],0)=0,PROPERTIES[[#This Row],[TE_COEFFICIENT_MANUAL]],PROPERTIES[[#This Row],[TE_COEFFICIENT_CALC]]),3)</f>
        <v>7.4999999999999997E-2</v>
      </c>
      <c r="W115" s="10" cm="1">
        <f t="array" ref="W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15" s="32">
        <v>0</v>
      </c>
      <c r="Y115" s="8">
        <v>4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8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9" t="b">
        <v>0</v>
      </c>
      <c r="AY115"/>
      <c r="AZ115"/>
      <c r="BA115"/>
    </row>
    <row r="116" spans="1:53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t="s">
        <v>1862</v>
      </c>
      <c r="F116" t="str">
        <f>_xlfn.XLOOKUP(PROPERTIES[[#This Row],[COUNTRY]],COUNTRIES[COUNTRY_DESCRIPTION],COUNTRIES[COUNTRY_LABEL],"")</f>
        <v>NL</v>
      </c>
      <c r="G116" t="str" cm="1">
        <f t="array" ref="G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6" t="s">
        <v>19</v>
      </c>
      <c r="I116">
        <v>0</v>
      </c>
      <c r="J116">
        <v>4</v>
      </c>
      <c r="K116">
        <v>4</v>
      </c>
      <c r="L116" t="str" cm="1">
        <f t="array" ref="L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6">
        <f>_xlfn.XLOOKUP("LOADINGSPEEDDEF_"&amp;PROPERTIES[[#This Row],[LOADINGSPEED]],LOADINGSPEEDDEF[TYPE],LOADINGSPEEDDEF[SPEED])</f>
        <v>20</v>
      </c>
      <c r="N116" cm="1">
        <f t="array" ref="N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6">
        <f>IF(ISNUMBER(SEARCH("passenger",PROPERTIES[[#This Row],[CARGODEF]])),1,0)</f>
        <v>0</v>
      </c>
      <c r="P116" s="29">
        <v>35</v>
      </c>
      <c r="Q116">
        <v>290</v>
      </c>
      <c r="R116">
        <v>45</v>
      </c>
      <c r="S116" s="26">
        <v>68</v>
      </c>
      <c r="T116" s="25">
        <f>IFERROR(PROPERTIES[[#This Row],[TE_STARTING_KN]]/(PROPERTIES[[#This Row],[WEIGHT]]*9.81),0)</f>
        <v>0.19804863841561088</v>
      </c>
      <c r="U116" s="25">
        <v>0.14000000000000001</v>
      </c>
      <c r="V116" s="22">
        <f>ROUND(IF(IFERROR(PROPERTIES[[#This Row],[TE_COEFFICIENT_CALC]],0)=0,PROPERTIES[[#This Row],[TE_COEFFICIENT_MANUAL]],PROPERTIES[[#This Row],[TE_COEFFICIENT_CALC]]),3)</f>
        <v>0.19800000000000001</v>
      </c>
      <c r="W116" s="10" cm="1">
        <f t="array" ref="W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6" s="32">
        <v>0</v>
      </c>
      <c r="Y116" s="8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8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9" t="b">
        <v>0</v>
      </c>
      <c r="AY116"/>
      <c r="AZ116"/>
      <c r="BA116"/>
    </row>
    <row r="117" spans="1:53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t="s">
        <v>1942</v>
      </c>
      <c r="F117" t="str">
        <f>_xlfn.XLOOKUP(PROPERTIES[[#This Row],[COUNTRY]],COUNTRIES[COUNTRY_DESCRIPTION],COUNTRIES[COUNTRY_LABEL],"")</f>
        <v>ZA</v>
      </c>
      <c r="G117" t="str" cm="1">
        <f t="array" ref="G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7" t="s">
        <v>19</v>
      </c>
      <c r="I117">
        <v>0</v>
      </c>
      <c r="J117">
        <v>8</v>
      </c>
      <c r="K117">
        <v>13</v>
      </c>
      <c r="L117" t="str" cm="1">
        <f t="array" ref="L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7">
        <f>_xlfn.XLOOKUP("LOADINGSPEEDDEF_"&amp;PROPERTIES[[#This Row],[LOADINGSPEED]],LOADINGSPEEDDEF[TYPE],LOADINGSPEEDDEF[SPEED])</f>
        <v>20</v>
      </c>
      <c r="N117" cm="1">
        <f t="array" ref="N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7">
        <f>IF(ISNUMBER(SEARCH("passenger",PROPERTIES[[#This Row],[CARGODEF]])),1,0)</f>
        <v>0</v>
      </c>
      <c r="P117" s="29">
        <v>159.9</v>
      </c>
      <c r="Q117">
        <v>1200</v>
      </c>
      <c r="R117">
        <v>50</v>
      </c>
      <c r="S117" s="26">
        <v>204</v>
      </c>
      <c r="T117" s="25">
        <f>IFERROR(PROPERTIES[[#This Row],[TE_STARTING_KN]]/(PROPERTIES[[#This Row],[WEIGHT]]*9.81),0)</f>
        <v>0.13005070064814972</v>
      </c>
      <c r="U117" s="25">
        <v>0.2</v>
      </c>
      <c r="V117" s="22">
        <f>ROUND(IF(IFERROR(PROPERTIES[[#This Row],[TE_COEFFICIENT_CALC]],0)=0,PROPERTIES[[#This Row],[TE_COEFFICIENT_MANUAL]],PROPERTIES[[#This Row],[TE_COEFFICIENT_CALC]]),3)</f>
        <v>0.13</v>
      </c>
      <c r="W117" s="10" cm="1">
        <f t="array" ref="W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7" s="32">
        <v>0</v>
      </c>
      <c r="Y117" s="8">
        <v>5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8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9" t="b">
        <v>0</v>
      </c>
      <c r="AY117"/>
      <c r="AZ117"/>
      <c r="BA117"/>
    </row>
    <row r="118" spans="1:53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t="s">
        <v>1856</v>
      </c>
      <c r="F118" t="str">
        <f>_xlfn.XLOOKUP(PROPERTIES[[#This Row],[COUNTRY]],COUNTRIES[COUNTRY_DESCRIPTION],COUNTRIES[COUNTRY_LABEL],"")</f>
        <v>NA</v>
      </c>
      <c r="G118" t="str" cm="1">
        <f t="array" ref="G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8" t="s">
        <v>19</v>
      </c>
      <c r="I118">
        <v>0</v>
      </c>
      <c r="J118">
        <v>6</v>
      </c>
      <c r="K118">
        <v>10</v>
      </c>
      <c r="L118" t="str" cm="1">
        <f t="array" ref="L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8">
        <f>_xlfn.XLOOKUP("LOADINGSPEEDDEF_"&amp;PROPERTIES[[#This Row],[LOADINGSPEED]],LOADINGSPEEDDEF[TYPE],LOADINGSPEEDDEF[SPEED])</f>
        <v>20</v>
      </c>
      <c r="N118" cm="1">
        <f t="array" ref="N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8">
        <f>IF(ISNUMBER(SEARCH("passenger",PROPERTIES[[#This Row],[CARGODEF]])),1,0)</f>
        <v>0</v>
      </c>
      <c r="P118" s="29">
        <v>67.099999999999994</v>
      </c>
      <c r="Q118">
        <v>750</v>
      </c>
      <c r="R118">
        <v>60</v>
      </c>
      <c r="S118" s="26">
        <v>60.4</v>
      </c>
      <c r="T118" s="25">
        <f>IFERROR(PROPERTIES[[#This Row],[TE_STARTING_KN]]/(PROPERTIES[[#This Row],[WEIGHT]]*9.81),0)</f>
        <v>9.1758311039405946E-2</v>
      </c>
      <c r="U118" s="25">
        <v>0.09</v>
      </c>
      <c r="V118" s="22">
        <f>ROUND(IF(IFERROR(PROPERTIES[[#This Row],[TE_COEFFICIENT_CALC]],0)=0,PROPERTIES[[#This Row],[TE_COEFFICIENT_MANUAL]],PROPERTIES[[#This Row],[TE_COEFFICIENT_CALC]]),3)</f>
        <v>9.1999999999999998E-2</v>
      </c>
      <c r="W118" s="10" cm="1">
        <f t="array" ref="W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8" s="32">
        <v>0</v>
      </c>
      <c r="Y118" s="8">
        <v>4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8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9" t="b">
        <v>0</v>
      </c>
      <c r="AY118"/>
      <c r="AZ118"/>
      <c r="BA118"/>
    </row>
    <row r="119" spans="1:53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t="s">
        <v>1773</v>
      </c>
      <c r="F119" t="str">
        <f>_xlfn.XLOOKUP(PROPERTIES[[#This Row],[COUNTRY]],COUNTRIES[COUNTRY_DESCRIPTION],COUNTRIES[COUNTRY_LABEL],"")</f>
        <v>GB</v>
      </c>
      <c r="G119" t="str" cm="1">
        <f t="array" ref="G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9" t="s">
        <v>19</v>
      </c>
      <c r="I119">
        <v>0</v>
      </c>
      <c r="J119">
        <v>6</v>
      </c>
      <c r="K119">
        <v>6</v>
      </c>
      <c r="L119" t="str" cm="1">
        <f t="array" ref="L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9">
        <f>_xlfn.XLOOKUP("LOADINGSPEEDDEF_"&amp;PROPERTIES[[#This Row],[LOADINGSPEED]],LOADINGSPEEDDEF[TYPE],LOADINGSPEEDDEF[SPEED])</f>
        <v>20</v>
      </c>
      <c r="N119" cm="1">
        <f t="array" ref="N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9">
        <f>IF(ISNUMBER(SEARCH("passenger",PROPERTIES[[#This Row],[CARGODEF]])),1,0)</f>
        <v>0</v>
      </c>
      <c r="P119" s="29">
        <v>63</v>
      </c>
      <c r="Q119">
        <v>850</v>
      </c>
      <c r="R119">
        <v>75</v>
      </c>
      <c r="S119" s="26">
        <v>91.24</v>
      </c>
      <c r="T119" s="25">
        <f>IFERROR(PROPERTIES[[#This Row],[TE_STARTING_KN]]/(PROPERTIES[[#This Row],[WEIGHT]]*9.81),0)</f>
        <v>0.14763037393006809</v>
      </c>
      <c r="U119" s="25">
        <v>0.14000000000000001</v>
      </c>
      <c r="V119" s="22">
        <f>ROUND(IF(IFERROR(PROPERTIES[[#This Row],[TE_COEFFICIENT_CALC]],0)=0,PROPERTIES[[#This Row],[TE_COEFFICIENT_MANUAL]],PROPERTIES[[#This Row],[TE_COEFFICIENT_CALC]]),3)</f>
        <v>0.14799999999999999</v>
      </c>
      <c r="W119" s="10" cm="1">
        <f t="array" ref="W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19" s="32">
        <v>0</v>
      </c>
      <c r="Y119" s="8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8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9" t="b">
        <v>0</v>
      </c>
      <c r="AY119"/>
      <c r="AZ119"/>
      <c r="BA119"/>
    </row>
    <row r="120" spans="1:53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t="s">
        <v>1754</v>
      </c>
      <c r="F120" t="str">
        <f>_xlfn.XLOOKUP(PROPERTIES[[#This Row],[COUNTRY]],COUNTRIES[COUNTRY_DESCRIPTION],COUNTRIES[COUNTRY_LABEL],"")</f>
        <v>DE</v>
      </c>
      <c r="G120" t="str" cm="1">
        <f t="array" ref="G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0" t="s">
        <v>19</v>
      </c>
      <c r="I120">
        <v>0</v>
      </c>
      <c r="J120">
        <v>8</v>
      </c>
      <c r="K120">
        <v>14</v>
      </c>
      <c r="L120" t="str" cm="1">
        <f t="array" ref="L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0">
        <f>_xlfn.XLOOKUP("LOADINGSPEEDDEF_"&amp;PROPERTIES[[#This Row],[LOADINGSPEED]],LOADINGSPEEDDEF[TYPE],LOADINGSPEEDDEF[SPEED])</f>
        <v>20</v>
      </c>
      <c r="N120" cm="1">
        <f t="array" ref="N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0">
        <f>IF(ISNUMBER(SEARCH("passenger",PROPERTIES[[#This Row],[CARGODEF]])),1,0)</f>
        <v>0</v>
      </c>
      <c r="P120" s="29">
        <v>162.69999999999999</v>
      </c>
      <c r="Q120">
        <v>1780</v>
      </c>
      <c r="R120">
        <v>115</v>
      </c>
      <c r="S120" s="26">
        <v>112</v>
      </c>
      <c r="T120" s="25">
        <f>IFERROR(PROPERTIES[[#This Row],[TE_STARTING_KN]]/(PROPERTIES[[#This Row],[WEIGHT]]*9.81),0)</f>
        <v>7.0171613452148909E-2</v>
      </c>
      <c r="U120" s="25">
        <v>0.23</v>
      </c>
      <c r="V120" s="22">
        <f>ROUND(IF(IFERROR(PROPERTIES[[#This Row],[TE_COEFFICIENT_CALC]],0)=0,PROPERTIES[[#This Row],[TE_COEFFICIENT_MANUAL]],PROPERTIES[[#This Row],[TE_COEFFICIENT_CALC]]),3)</f>
        <v>7.0000000000000007E-2</v>
      </c>
      <c r="W120" s="10" cm="1">
        <f t="array" ref="W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20" s="32">
        <v>0</v>
      </c>
      <c r="Y120" s="8">
        <v>6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8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9" t="b">
        <v>0</v>
      </c>
      <c r="AY120"/>
      <c r="AZ120"/>
      <c r="BA120"/>
    </row>
    <row r="121" spans="1:53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t="s">
        <v>1717</v>
      </c>
      <c r="F121" t="str">
        <f>_xlfn.XLOOKUP(PROPERTIES[[#This Row],[COUNTRY]],COUNTRIES[COUNTRY_DESCRIPTION],COUNTRIES[COUNTRY_LABEL],"")</f>
        <v>BE</v>
      </c>
      <c r="G121" t="str" cm="1">
        <f t="array" ref="G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1" t="s">
        <v>19</v>
      </c>
      <c r="I121">
        <v>0</v>
      </c>
      <c r="J121">
        <v>8</v>
      </c>
      <c r="K121">
        <v>12</v>
      </c>
      <c r="L121" t="str" cm="1">
        <f t="array" ref="L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1">
        <f>_xlfn.XLOOKUP("LOADINGSPEEDDEF_"&amp;PROPERTIES[[#This Row],[LOADINGSPEED]],LOADINGSPEEDDEF[TYPE],LOADINGSPEEDDEF[SPEED])</f>
        <v>20</v>
      </c>
      <c r="N121" cm="1">
        <f t="array" ref="N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1">
        <f>IF(ISNUMBER(SEARCH("passenger",PROPERTIES[[#This Row],[CARGODEF]])),1,0)</f>
        <v>0</v>
      </c>
      <c r="P121" s="29">
        <v>133</v>
      </c>
      <c r="Q121">
        <v>1600</v>
      </c>
      <c r="R121">
        <v>110</v>
      </c>
      <c r="S121" s="26">
        <v>102</v>
      </c>
      <c r="T121" s="25">
        <f>IFERROR(PROPERTIES[[#This Row],[TE_STARTING_KN]]/(PROPERTIES[[#This Row],[WEIGHT]]*9.81),0)</f>
        <v>7.8177094111425358E-2</v>
      </c>
      <c r="U121" s="25">
        <v>0.12</v>
      </c>
      <c r="V121" s="22">
        <f>ROUND(IF(IFERROR(PROPERTIES[[#This Row],[TE_COEFFICIENT_CALC]],0)=0,PROPERTIES[[#This Row],[TE_COEFFICIENT_MANUAL]],PROPERTIES[[#This Row],[TE_COEFFICIENT_CALC]]),3)</f>
        <v>7.8E-2</v>
      </c>
      <c r="W121" s="10" cm="1">
        <f t="array" ref="W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1" s="32">
        <v>0</v>
      </c>
      <c r="Y121" s="8">
        <v>4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8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9" t="b">
        <v>0</v>
      </c>
      <c r="AY121"/>
      <c r="AZ121"/>
      <c r="BA121"/>
    </row>
    <row r="122" spans="1:53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t="s">
        <v>1798</v>
      </c>
      <c r="F122" t="str">
        <f>_xlfn.XLOOKUP(PROPERTIES[[#This Row],[COUNTRY]],COUNTRIES[COUNTRY_DESCRIPTION],COUNTRIES[COUNTRY_LABEL],"")</f>
        <v>IE</v>
      </c>
      <c r="G122" t="str" cm="1">
        <f t="array" ref="G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2" t="s">
        <v>19</v>
      </c>
      <c r="I122">
        <v>0</v>
      </c>
      <c r="J122">
        <v>7</v>
      </c>
      <c r="K122">
        <v>11</v>
      </c>
      <c r="L122" t="str" cm="1">
        <f t="array" ref="L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2">
        <f>_xlfn.XLOOKUP("LOADINGSPEEDDEF_"&amp;PROPERTIES[[#This Row],[LOADINGSPEED]],LOADINGSPEEDDEF[TYPE],LOADINGSPEEDDEF[SPEED])</f>
        <v>20</v>
      </c>
      <c r="N122" cm="1">
        <f t="array" ref="N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2">
        <f>IF(ISNUMBER(SEARCH("passenger",PROPERTIES[[#This Row],[CARGODEF]])),1,0)</f>
        <v>0</v>
      </c>
      <c r="P122" s="29">
        <v>84</v>
      </c>
      <c r="Q122">
        <v>550</v>
      </c>
      <c r="R122">
        <v>120</v>
      </c>
      <c r="S122" s="26">
        <v>101.8</v>
      </c>
      <c r="T122" s="25">
        <f>IFERROR(PROPERTIES[[#This Row],[TE_STARTING_KN]]/(PROPERTIES[[#This Row],[WEIGHT]]*9.81),0)</f>
        <v>0.12353769234503179</v>
      </c>
      <c r="U122" s="25">
        <v>0.12</v>
      </c>
      <c r="V122" s="22">
        <f>ROUND(IF(IFERROR(PROPERTIES[[#This Row],[TE_COEFFICIENT_CALC]],0)=0,PROPERTIES[[#This Row],[TE_COEFFICIENT_MANUAL]],PROPERTIES[[#This Row],[TE_COEFFICIENT_CALC]]),3)</f>
        <v>0.124</v>
      </c>
      <c r="W122" s="10" cm="1">
        <f t="array" ref="W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22" s="32">
        <v>0</v>
      </c>
      <c r="Y122" s="8">
        <v>4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8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9" t="b">
        <v>0</v>
      </c>
      <c r="AY122"/>
      <c r="AZ122"/>
      <c r="BA122"/>
    </row>
    <row r="123" spans="1:53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t="s">
        <v>1928</v>
      </c>
      <c r="F123" t="str">
        <f>_xlfn.XLOOKUP(PROPERTIES[[#This Row],[COUNTRY]],COUNTRIES[COUNTRY_DESCRIPTION],COUNTRIES[COUNTRY_LABEL],"")</f>
        <v>US</v>
      </c>
      <c r="G123" t="str" cm="1">
        <f t="array" ref="G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3" t="s">
        <v>19</v>
      </c>
      <c r="I123">
        <v>0</v>
      </c>
      <c r="J123">
        <v>6</v>
      </c>
      <c r="K123">
        <v>10</v>
      </c>
      <c r="L123" t="str" cm="1">
        <f t="array" ref="L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3">
        <f>_xlfn.XLOOKUP("LOADINGSPEEDDEF_"&amp;PROPERTIES[[#This Row],[LOADINGSPEED]],LOADINGSPEEDDEF[TYPE],LOADINGSPEEDDEF[SPEED])</f>
        <v>20</v>
      </c>
      <c r="N123" cm="1">
        <f t="array" ref="N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3">
        <f>IF(ISNUMBER(SEARCH("passenger",PROPERTIES[[#This Row],[CARGODEF]])),1,0)</f>
        <v>0</v>
      </c>
      <c r="P123" s="29">
        <v>105</v>
      </c>
      <c r="Q123">
        <v>850</v>
      </c>
      <c r="R123">
        <v>65</v>
      </c>
      <c r="S123" s="26">
        <v>136.80000000000001</v>
      </c>
      <c r="T123" s="25">
        <f>IFERROR(PROPERTIES[[#This Row],[TE_STARTING_KN]]/(PROPERTIES[[#This Row],[WEIGHT]]*9.81),0)</f>
        <v>0.13280908693752733</v>
      </c>
      <c r="U123" s="25">
        <v>0.21</v>
      </c>
      <c r="V123" s="22">
        <f>ROUND(IF(IFERROR(PROPERTIES[[#This Row],[TE_COEFFICIENT_CALC]],0)=0,PROPERTIES[[#This Row],[TE_COEFFICIENT_MANUAL]],PROPERTIES[[#This Row],[TE_COEFFICIENT_CALC]]),3)</f>
        <v>0.13300000000000001</v>
      </c>
      <c r="W123" s="10" cm="1">
        <f t="array" ref="W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3" s="32">
        <v>0</v>
      </c>
      <c r="Y123" s="8">
        <v>4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8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9" t="b">
        <v>0</v>
      </c>
      <c r="AY123"/>
      <c r="AZ123"/>
      <c r="BA123"/>
    </row>
    <row r="124" spans="1:53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t="s">
        <v>1735</v>
      </c>
      <c r="F124" t="str">
        <f>_xlfn.XLOOKUP(PROPERTIES[[#This Row],[COUNTRY]],COUNTRIES[COUNTRY_DESCRIPTION],COUNTRIES[COUNTRY_LABEL],"")</f>
        <v>CA</v>
      </c>
      <c r="G124" t="str" cm="1">
        <f t="array" ref="G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4" t="s">
        <v>19</v>
      </c>
      <c r="I124">
        <v>0</v>
      </c>
      <c r="J124">
        <v>8</v>
      </c>
      <c r="K124">
        <v>14</v>
      </c>
      <c r="L124" t="str" cm="1">
        <f t="array" ref="L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4">
        <f>_xlfn.XLOOKUP("LOADINGSPEEDDEF_"&amp;PROPERTIES[[#This Row],[LOADINGSPEED]],LOADINGSPEEDDEF[TYPE],LOADINGSPEEDDEF[SPEED])</f>
        <v>20</v>
      </c>
      <c r="N124" cm="1">
        <f t="array" ref="N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4">
        <f>IF(ISNUMBER(SEARCH("passenger",PROPERTIES[[#This Row],[CARGODEF]])),1,0)</f>
        <v>0</v>
      </c>
      <c r="P124" s="29">
        <v>273</v>
      </c>
      <c r="Q124">
        <v>3200</v>
      </c>
      <c r="R124">
        <v>130</v>
      </c>
      <c r="S124" s="26">
        <v>220.6</v>
      </c>
      <c r="T124" s="25">
        <f>IFERROR(PROPERTIES[[#This Row],[TE_STARTING_KN]]/(PROPERTIES[[#This Row],[WEIGHT]]*9.81),0)</f>
        <v>8.2370908058981451E-2</v>
      </c>
      <c r="U124" s="25">
        <v>0.08</v>
      </c>
      <c r="V124" s="22">
        <f>ROUND(IF(IFERROR(PROPERTIES[[#This Row],[TE_COEFFICIENT_CALC]],0)=0,PROPERTIES[[#This Row],[TE_COEFFICIENT_MANUAL]],PROPERTIES[[#This Row],[TE_COEFFICIENT_CALC]]),3)</f>
        <v>8.2000000000000003E-2</v>
      </c>
      <c r="W124" s="10" cm="1">
        <f t="array" ref="W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4" s="32">
        <v>0</v>
      </c>
      <c r="Y124" s="8">
        <v>6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8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9" t="b">
        <v>0</v>
      </c>
      <c r="AY124"/>
      <c r="AZ124"/>
      <c r="BA124"/>
    </row>
    <row r="125" spans="1:53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t="s">
        <v>1801</v>
      </c>
      <c r="F125" t="str">
        <f>_xlfn.XLOOKUP(PROPERTIES[[#This Row],[COUNTRY]],COUNTRIES[COUNTRY_DESCRIPTION],COUNTRIES[COUNTRY_LABEL],"")</f>
        <v>IN</v>
      </c>
      <c r="G125" t="str" cm="1">
        <f t="array" ref="G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5" t="s">
        <v>19</v>
      </c>
      <c r="I125">
        <v>0</v>
      </c>
      <c r="J125">
        <v>8</v>
      </c>
      <c r="K125">
        <v>15</v>
      </c>
      <c r="L125" t="str" cm="1">
        <f t="array" ref="L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5">
        <f>_xlfn.XLOOKUP("LOADINGSPEEDDEF_"&amp;PROPERTIES[[#This Row],[LOADINGSPEED]],LOADINGSPEEDDEF[TYPE],LOADINGSPEEDDEF[SPEED])</f>
        <v>20</v>
      </c>
      <c r="N125" cm="1">
        <f t="array" ref="N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5">
        <f>IF(ISNUMBER(SEARCH("passenger",PROPERTIES[[#This Row],[CARGODEF]])),1,0)</f>
        <v>0</v>
      </c>
      <c r="P125" s="29">
        <v>162.5</v>
      </c>
      <c r="Q125">
        <v>2150</v>
      </c>
      <c r="R125">
        <v>110</v>
      </c>
      <c r="S125" s="26">
        <v>119.03</v>
      </c>
      <c r="T125" s="25">
        <f>IFERROR(PROPERTIES[[#This Row],[TE_STARTING_KN]]/(PROPERTIES[[#This Row],[WEIGHT]]*9.81),0)</f>
        <v>7.4667921273425863E-2</v>
      </c>
      <c r="U125" s="25">
        <v>0.08</v>
      </c>
      <c r="V125" s="22">
        <f>ROUND(IF(IFERROR(PROPERTIES[[#This Row],[TE_COEFFICIENT_CALC]],0)=0,PROPERTIES[[#This Row],[TE_COEFFICIENT_MANUAL]],PROPERTIES[[#This Row],[TE_COEFFICIENT_CALC]]),3)</f>
        <v>7.4999999999999997E-2</v>
      </c>
      <c r="W125" s="10" cm="1">
        <f t="array" ref="W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25" s="32">
        <v>0</v>
      </c>
      <c r="Y125" s="8">
        <v>7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8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9" t="b">
        <v>0</v>
      </c>
      <c r="AY125"/>
      <c r="AZ125"/>
      <c r="BA125"/>
    </row>
    <row r="126" spans="1:53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t="s">
        <v>1803</v>
      </c>
      <c r="F126" t="str">
        <f>_xlfn.XLOOKUP(PROPERTIES[[#This Row],[COUNTRY]],COUNTRIES[COUNTRY_DESCRIPTION],COUNTRIES[COUNTRY_LABEL],"")</f>
        <v>IQ</v>
      </c>
      <c r="G126" t="str" cm="1">
        <f t="array" ref="G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6" t="s">
        <v>19</v>
      </c>
      <c r="I126">
        <v>0</v>
      </c>
      <c r="J126">
        <v>8</v>
      </c>
      <c r="K126">
        <v>14</v>
      </c>
      <c r="L126" t="str" cm="1">
        <f t="array" ref="L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6">
        <f>_xlfn.XLOOKUP("LOADINGSPEEDDEF_"&amp;PROPERTIES[[#This Row],[LOADINGSPEED]],LOADINGSPEEDDEF[TYPE],LOADINGSPEEDDEF[SPEED])</f>
        <v>20</v>
      </c>
      <c r="N126" cm="1">
        <f t="array" ref="N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6">
        <f>IF(ISNUMBER(SEARCH("passenger",PROPERTIES[[#This Row],[CARGODEF]])),1,0)</f>
        <v>0</v>
      </c>
      <c r="P126" s="29">
        <v>162</v>
      </c>
      <c r="Q126">
        <v>1640</v>
      </c>
      <c r="R126">
        <v>110</v>
      </c>
      <c r="S126" s="26">
        <v>0</v>
      </c>
      <c r="T126" s="25">
        <f>IFERROR(PROPERTIES[[#This Row],[TE_STARTING_KN]]/(PROPERTIES[[#This Row],[WEIGHT]]*9.81),0)</f>
        <v>0</v>
      </c>
      <c r="U126" s="25">
        <v>0.08</v>
      </c>
      <c r="V126" s="22">
        <f>ROUND(IF(IFERROR(PROPERTIES[[#This Row],[TE_COEFFICIENT_CALC]],0)=0,PROPERTIES[[#This Row],[TE_COEFFICIENT_MANUAL]],PROPERTIES[[#This Row],[TE_COEFFICIENT_CALC]]),3)</f>
        <v>0.08</v>
      </c>
      <c r="W126" s="10" cm="1">
        <f t="array" ref="W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6" s="32">
        <v>0</v>
      </c>
      <c r="Y126" s="8">
        <v>6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8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9" t="b">
        <v>0</v>
      </c>
      <c r="AY126"/>
      <c r="AZ126"/>
      <c r="BA126"/>
    </row>
    <row r="127" spans="1:53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t="s">
        <v>1762</v>
      </c>
      <c r="F127" t="str">
        <f>_xlfn.XLOOKUP(PROPERTIES[[#This Row],[COUNTRY]],COUNTRIES[COUNTRY_DESCRIPTION],COUNTRIES[COUNTRY_LABEL],"")</f>
        <v>EG</v>
      </c>
      <c r="G127" t="str" cm="1">
        <f t="array" ref="G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7" t="s">
        <v>19</v>
      </c>
      <c r="I127">
        <v>0</v>
      </c>
      <c r="J127">
        <v>6</v>
      </c>
      <c r="K127">
        <v>6</v>
      </c>
      <c r="L127" t="str" cm="1">
        <f t="array" ref="L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7">
        <f>_xlfn.XLOOKUP("LOADINGSPEEDDEF_"&amp;PROPERTIES[[#This Row],[LOADINGSPEED]],LOADINGSPEEDDEF[TYPE],LOADINGSPEEDDEF[SPEED])</f>
        <v>20</v>
      </c>
      <c r="N127" cm="1">
        <f t="array" ref="N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7">
        <f>IF(ISNUMBER(SEARCH("passenger",PROPERTIES[[#This Row],[CARGODEF]])),1,0)</f>
        <v>0</v>
      </c>
      <c r="P127" s="29">
        <v>46</v>
      </c>
      <c r="Q127">
        <v>560</v>
      </c>
      <c r="R127">
        <v>65</v>
      </c>
      <c r="S127" s="26">
        <v>92.68</v>
      </c>
      <c r="T127" s="25">
        <f>IFERROR(PROPERTIES[[#This Row],[TE_STARTING_KN]]/(PROPERTIES[[#This Row],[WEIGHT]]*9.81),0)</f>
        <v>0.20538049018304302</v>
      </c>
      <c r="U127" s="25">
        <v>0.22</v>
      </c>
      <c r="V127" s="22">
        <f>ROUND(IF(IFERROR(PROPERTIES[[#This Row],[TE_COEFFICIENT_CALC]],0)=0,PROPERTIES[[#This Row],[TE_COEFFICIENT_MANUAL]],PROPERTIES[[#This Row],[TE_COEFFICIENT_CALC]]),3)</f>
        <v>0.20499999999999999</v>
      </c>
      <c r="W127" s="10" cm="1">
        <f t="array" ref="W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7" s="32">
        <v>0</v>
      </c>
      <c r="Y127" s="8">
        <v>0</v>
      </c>
      <c r="Z127" t="s">
        <v>872</v>
      </c>
      <c r="AA127" t="s">
        <v>869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8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9" t="b">
        <v>0</v>
      </c>
      <c r="AY127"/>
      <c r="AZ127"/>
      <c r="BA127"/>
    </row>
    <row r="128" spans="1:53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t="s">
        <v>1773</v>
      </c>
      <c r="F128" t="str">
        <f>_xlfn.XLOOKUP(PROPERTIES[[#This Row],[COUNTRY]],COUNTRIES[COUNTRY_DESCRIPTION],COUNTRIES[COUNTRY_LABEL],"")</f>
        <v>GB</v>
      </c>
      <c r="G128" t="str" cm="1">
        <f t="array" ref="G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8" t="s">
        <v>19</v>
      </c>
      <c r="I128">
        <v>0</v>
      </c>
      <c r="J128">
        <v>6</v>
      </c>
      <c r="K128">
        <v>6</v>
      </c>
      <c r="L128" t="str" cm="1">
        <f t="array" ref="L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8">
        <f>_xlfn.XLOOKUP("LOADINGSPEEDDEF_"&amp;PROPERTIES[[#This Row],[LOADINGSPEED]],LOADINGSPEEDDEF[TYPE],LOADINGSPEEDDEF[SPEED])</f>
        <v>20</v>
      </c>
      <c r="N128" cm="1">
        <f t="array" ref="N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8">
        <f>IF(ISNUMBER(SEARCH("passenger",PROPERTIES[[#This Row],[CARGODEF]])),1,0)</f>
        <v>0</v>
      </c>
      <c r="P128" s="29">
        <v>41.6</v>
      </c>
      <c r="Q128">
        <v>500</v>
      </c>
      <c r="R128">
        <v>65</v>
      </c>
      <c r="S128" s="26">
        <v>82.36</v>
      </c>
      <c r="T128" s="25">
        <f>IFERROR(PROPERTIES[[#This Row],[TE_STARTING_KN]]/(PROPERTIES[[#This Row],[WEIGHT]]*9.81),0)</f>
        <v>0.20181525915470866</v>
      </c>
      <c r="U128" s="25">
        <v>0.2</v>
      </c>
      <c r="V128" s="22">
        <f>ROUND(IF(IFERROR(PROPERTIES[[#This Row],[TE_COEFFICIENT_CALC]],0)=0,PROPERTIES[[#This Row],[TE_COEFFICIENT_MANUAL]],PROPERTIES[[#This Row],[TE_COEFFICIENT_CALC]]),3)</f>
        <v>0.20200000000000001</v>
      </c>
      <c r="W128" s="10" cm="1">
        <f t="array" ref="W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8" s="32">
        <v>0</v>
      </c>
      <c r="Y128" s="8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8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9" t="b">
        <v>0</v>
      </c>
      <c r="AY128"/>
      <c r="AZ128"/>
      <c r="BA128"/>
    </row>
    <row r="129" spans="1:53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t="s">
        <v>1710</v>
      </c>
      <c r="F129" t="str">
        <f>_xlfn.XLOOKUP(PROPERTIES[[#This Row],[COUNTRY]],COUNTRIES[COUNTRY_DESCRIPTION],COUNTRIES[COUNTRY_LABEL],"")</f>
        <v>AU</v>
      </c>
      <c r="G129" t="str" cm="1">
        <f t="array" ref="G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9" t="s">
        <v>19</v>
      </c>
      <c r="I129">
        <v>0</v>
      </c>
      <c r="J129">
        <v>8</v>
      </c>
      <c r="K129">
        <v>13</v>
      </c>
      <c r="L129" t="str" cm="1">
        <f t="array" ref="L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9">
        <f>_xlfn.XLOOKUP("LOADINGSPEEDDEF_"&amp;PROPERTIES[[#This Row],[LOADINGSPEED]],LOADINGSPEEDDEF[TYPE],LOADINGSPEEDDEF[SPEED])</f>
        <v>20</v>
      </c>
      <c r="N129" cm="1">
        <f t="array" ref="N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9">
        <f>IF(ISNUMBER(SEARCH("passenger",PROPERTIES[[#This Row],[CARGODEF]])),1,0)</f>
        <v>0</v>
      </c>
      <c r="P129" s="29">
        <v>188.3</v>
      </c>
      <c r="Q129">
        <v>2400</v>
      </c>
      <c r="R129">
        <v>130</v>
      </c>
      <c r="S129" s="26">
        <v>142.69999999999999</v>
      </c>
      <c r="T129" s="25">
        <f>IFERROR(PROPERTIES[[#This Row],[TE_STARTING_KN]]/(PROPERTIES[[#This Row],[WEIGHT]]*9.81),0)</f>
        <v>7.7251095292771896E-2</v>
      </c>
      <c r="U129" s="25">
        <v>7.0000000000000007E-2</v>
      </c>
      <c r="V129" s="22">
        <f>ROUND(IF(IFERROR(PROPERTIES[[#This Row],[TE_COEFFICIENT_CALC]],0)=0,PROPERTIES[[#This Row],[TE_COEFFICIENT_MANUAL]],PROPERTIES[[#This Row],[TE_COEFFICIENT_CALC]]),3)</f>
        <v>7.6999999999999999E-2</v>
      </c>
      <c r="W129" s="10" cm="1">
        <f t="array" ref="W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29" s="32">
        <v>0</v>
      </c>
      <c r="Y129" s="8">
        <v>5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8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9" t="b">
        <v>0</v>
      </c>
      <c r="AY129"/>
      <c r="AZ129"/>
      <c r="BA129"/>
    </row>
    <row r="130" spans="1:53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t="s">
        <v>1754</v>
      </c>
      <c r="F130" t="str">
        <f>_xlfn.XLOOKUP(PROPERTIES[[#This Row],[COUNTRY]],COUNTRIES[COUNTRY_DESCRIPTION],COUNTRIES[COUNTRY_LABEL],"")</f>
        <v>DE</v>
      </c>
      <c r="G130" t="str" cm="1">
        <f t="array" ref="G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0" t="s">
        <v>19</v>
      </c>
      <c r="I130">
        <v>0</v>
      </c>
      <c r="J130">
        <v>7</v>
      </c>
      <c r="K130">
        <v>7</v>
      </c>
      <c r="L130" t="str" cm="1">
        <f t="array" ref="L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0">
        <f>_xlfn.XLOOKUP("LOADINGSPEEDDEF_"&amp;PROPERTIES[[#This Row],[LOADINGSPEED]],LOADINGSPEEDDEF[TYPE],LOADINGSPEEDDEF[SPEED])</f>
        <v>20</v>
      </c>
      <c r="N130" cm="1">
        <f t="array" ref="N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0">
        <f>IF(ISNUMBER(SEARCH("passenger",PROPERTIES[[#This Row],[CARGODEF]])),1,0)</f>
        <v>0</v>
      </c>
      <c r="P130" s="29">
        <v>55</v>
      </c>
      <c r="Q130">
        <v>592</v>
      </c>
      <c r="R130">
        <v>30</v>
      </c>
      <c r="S130" s="26">
        <v>83.35</v>
      </c>
      <c r="T130" s="25">
        <f>IFERROR(PROPERTIES[[#This Row],[TE_STARTING_KN]]/(PROPERTIES[[#This Row],[WEIGHT]]*9.81),0)</f>
        <v>0.15448058567324618</v>
      </c>
      <c r="U130" s="25">
        <v>0.2</v>
      </c>
      <c r="V130" s="22">
        <f>ROUND(IF(IFERROR(PROPERTIES[[#This Row],[TE_COEFFICIENT_CALC]],0)=0,PROPERTIES[[#This Row],[TE_COEFFICIENT_MANUAL]],PROPERTIES[[#This Row],[TE_COEFFICIENT_CALC]]),3)</f>
        <v>0.154</v>
      </c>
      <c r="W130" s="10" cm="1">
        <f t="array" ref="W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0" s="32">
        <v>0</v>
      </c>
      <c r="Y130" s="8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8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9" t="b">
        <v>0</v>
      </c>
      <c r="AY130"/>
      <c r="AZ130"/>
      <c r="BA130"/>
    </row>
    <row r="131" spans="1:53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t="s">
        <v>1754</v>
      </c>
      <c r="F131" t="str">
        <f>_xlfn.XLOOKUP(PROPERTIES[[#This Row],[COUNTRY]],COUNTRIES[COUNTRY_DESCRIPTION],COUNTRIES[COUNTRY_LABEL],"")</f>
        <v>DE</v>
      </c>
      <c r="G131" t="str" cm="1">
        <f t="array" ref="G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1" t="s">
        <v>19</v>
      </c>
      <c r="I131">
        <v>0</v>
      </c>
      <c r="J131">
        <v>8</v>
      </c>
      <c r="K131">
        <v>14</v>
      </c>
      <c r="L131" t="str" cm="1">
        <f t="array" ref="L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1">
        <f>_xlfn.XLOOKUP("LOADINGSPEEDDEF_"&amp;PROPERTIES[[#This Row],[LOADINGSPEED]],LOADINGSPEEDDEF[TYPE],LOADINGSPEEDDEF[SPEED])</f>
        <v>20</v>
      </c>
      <c r="N131" cm="1">
        <f t="array" ref="N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1">
        <f>IF(ISNUMBER(SEARCH("passenger",PROPERTIES[[#This Row],[CARGODEF]])),1,0)</f>
        <v>0</v>
      </c>
      <c r="P131" s="29">
        <v>172</v>
      </c>
      <c r="Q131">
        <v>2120</v>
      </c>
      <c r="R131">
        <v>182</v>
      </c>
      <c r="S131" s="26">
        <v>0</v>
      </c>
      <c r="T131" s="25">
        <f>IFERROR(PROPERTIES[[#This Row],[TE_STARTING_KN]]/(PROPERTIES[[#This Row],[WEIGHT]]*9.81),0)</f>
        <v>0</v>
      </c>
      <c r="U131" s="25">
        <v>0.06</v>
      </c>
      <c r="V131" s="22">
        <f>ROUND(IF(IFERROR(PROPERTIES[[#This Row],[TE_COEFFICIENT_CALC]],0)=0,PROPERTIES[[#This Row],[TE_COEFFICIENT_MANUAL]],PROPERTIES[[#This Row],[TE_COEFFICIENT_CALC]]),3)</f>
        <v>0.06</v>
      </c>
      <c r="W131" s="10" cm="1">
        <f t="array" ref="W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1" s="32">
        <v>0</v>
      </c>
      <c r="Y131" s="8">
        <v>6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8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9" t="b">
        <v>0</v>
      </c>
      <c r="AY131"/>
      <c r="AZ131"/>
      <c r="BA131"/>
    </row>
    <row r="132" spans="1:53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t="s">
        <v>1867</v>
      </c>
      <c r="F132" t="str">
        <f>_xlfn.XLOOKUP(PROPERTIES[[#This Row],[COUNTRY]],COUNTRIES[COUNTRY_DESCRIPTION],COUNTRIES[COUNTRY_LABEL],"")</f>
        <v>NZ</v>
      </c>
      <c r="G132" t="str" cm="1">
        <f t="array" ref="G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2" t="s">
        <v>19</v>
      </c>
      <c r="I132">
        <v>0</v>
      </c>
      <c r="J132">
        <v>6</v>
      </c>
      <c r="K132">
        <v>6</v>
      </c>
      <c r="L132" t="str" cm="1">
        <f t="array" ref="L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2">
        <f>_xlfn.XLOOKUP("LOADINGSPEEDDEF_"&amp;PROPERTIES[[#This Row],[LOADINGSPEED]],LOADINGSPEEDDEF[TYPE],LOADINGSPEEDDEF[SPEED])</f>
        <v>20</v>
      </c>
      <c r="N132" cm="1">
        <f t="array" ref="N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2">
        <f>IF(ISNUMBER(SEARCH("passenger",PROPERTIES[[#This Row],[CARGODEF]])),1,0)</f>
        <v>0</v>
      </c>
      <c r="P132" s="29">
        <v>74</v>
      </c>
      <c r="Q132">
        <v>1000</v>
      </c>
      <c r="R132">
        <v>97</v>
      </c>
      <c r="S132" s="26">
        <v>99</v>
      </c>
      <c r="T132" s="25">
        <f>IFERROR(PROPERTIES[[#This Row],[TE_STARTING_KN]]/(PROPERTIES[[#This Row],[WEIGHT]]*9.81),0)</f>
        <v>0.13637490701710883</v>
      </c>
      <c r="U132" s="25">
        <v>0.14000000000000001</v>
      </c>
      <c r="V132" s="22">
        <f>ROUND(IF(IFERROR(PROPERTIES[[#This Row],[TE_COEFFICIENT_CALC]],0)=0,PROPERTIES[[#This Row],[TE_COEFFICIENT_MANUAL]],PROPERTIES[[#This Row],[TE_COEFFICIENT_CALC]]),3)</f>
        <v>0.13600000000000001</v>
      </c>
      <c r="W132" s="10" cm="1">
        <f t="array" ref="W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132" s="32">
        <v>0</v>
      </c>
      <c r="Y132" s="8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8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9" t="b">
        <v>0</v>
      </c>
      <c r="AY132"/>
      <c r="AZ132"/>
      <c r="BA132"/>
    </row>
    <row r="133" spans="1:53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t="s">
        <v>1710</v>
      </c>
      <c r="F133" t="str">
        <f>_xlfn.XLOOKUP(PROPERTIES[[#This Row],[COUNTRY]],COUNTRIES[COUNTRY_DESCRIPTION],COUNTRIES[COUNTRY_LABEL],"")</f>
        <v>AU</v>
      </c>
      <c r="G133" t="str" cm="1">
        <f t="array" ref="G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3" t="s">
        <v>19</v>
      </c>
      <c r="I133">
        <v>0</v>
      </c>
      <c r="J133">
        <v>8</v>
      </c>
      <c r="K133">
        <v>13</v>
      </c>
      <c r="L133" t="str" cm="1">
        <f t="array" ref="L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3">
        <f>_xlfn.XLOOKUP("LOADINGSPEEDDEF_"&amp;PROPERTIES[[#This Row],[LOADINGSPEED]],LOADINGSPEEDDEF[TYPE],LOADINGSPEEDDEF[SPEED])</f>
        <v>20</v>
      </c>
      <c r="N133" cm="1">
        <f t="array" ref="N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3">
        <f>IF(ISNUMBER(SEARCH("passenger",PROPERTIES[[#This Row],[CARGODEF]])),1,0)</f>
        <v>0</v>
      </c>
      <c r="P133" s="29">
        <v>231</v>
      </c>
      <c r="Q133">
        <v>2800</v>
      </c>
      <c r="R133">
        <v>80</v>
      </c>
      <c r="S133" s="26">
        <v>289.10000000000002</v>
      </c>
      <c r="T133" s="25">
        <f>IFERROR(PROPERTIES[[#This Row],[TE_STARTING_KN]]/(PROPERTIES[[#This Row],[WEIGHT]]*9.81),0)</f>
        <v>0.12757544867636611</v>
      </c>
      <c r="U133" s="25">
        <v>0.12</v>
      </c>
      <c r="V133" s="22">
        <f>ROUND(IF(IFERROR(PROPERTIES[[#This Row],[TE_COEFFICIENT_CALC]],0)=0,PROPERTIES[[#This Row],[TE_COEFFICIENT_MANUAL]],PROPERTIES[[#This Row],[TE_COEFFICIENT_CALC]]),3)</f>
        <v>0.128</v>
      </c>
      <c r="W133" s="10" cm="1">
        <f t="array" ref="W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3" s="32">
        <v>0</v>
      </c>
      <c r="Y133" s="8">
        <v>5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8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9" t="b">
        <v>0</v>
      </c>
      <c r="AY133"/>
      <c r="AZ133"/>
      <c r="BA133"/>
    </row>
    <row r="134" spans="1:53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t="s">
        <v>1710</v>
      </c>
      <c r="F134" t="str">
        <f>_xlfn.XLOOKUP(PROPERTIES[[#This Row],[COUNTRY]],COUNTRIES[COUNTRY_DESCRIPTION],COUNTRIES[COUNTRY_LABEL],"")</f>
        <v>AU</v>
      </c>
      <c r="G134" t="str" cm="1">
        <f t="array" ref="G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4" t="s">
        <v>19</v>
      </c>
      <c r="I134">
        <v>0</v>
      </c>
      <c r="J134">
        <v>8</v>
      </c>
      <c r="K134">
        <v>13</v>
      </c>
      <c r="L134" t="str" cm="1">
        <f t="array" ref="L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4">
        <f>_xlfn.XLOOKUP("LOADINGSPEEDDEF_"&amp;PROPERTIES[[#This Row],[LOADINGSPEED]],LOADINGSPEEDDEF[TYPE],LOADINGSPEEDDEF[SPEED])</f>
        <v>20</v>
      </c>
      <c r="N134" cm="1">
        <f t="array" ref="N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4">
        <f>IF(ISNUMBER(SEARCH("passenger",PROPERTIES[[#This Row],[CARGODEF]])),1,0)</f>
        <v>0</v>
      </c>
      <c r="P134" s="29">
        <v>200</v>
      </c>
      <c r="Q134">
        <v>2600</v>
      </c>
      <c r="R134">
        <v>112</v>
      </c>
      <c r="S134" s="26">
        <v>145</v>
      </c>
      <c r="T134" s="25">
        <f>IFERROR(PROPERTIES[[#This Row],[TE_STARTING_KN]]/(PROPERTIES[[#This Row],[WEIGHT]]*9.81),0)</f>
        <v>7.3904179408766563E-2</v>
      </c>
      <c r="U134" s="25">
        <v>7.0000000000000007E-2</v>
      </c>
      <c r="V134" s="22">
        <f>ROUND(IF(IFERROR(PROPERTIES[[#This Row],[TE_COEFFICIENT_CALC]],0)=0,PROPERTIES[[#This Row],[TE_COEFFICIENT_MANUAL]],PROPERTIES[[#This Row],[TE_COEFFICIENT_CALC]]),3)</f>
        <v>7.3999999999999996E-2</v>
      </c>
      <c r="W134" s="10" cm="1">
        <f t="array" ref="W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4" s="32">
        <v>0</v>
      </c>
      <c r="Y134" s="8">
        <v>5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8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9" t="b">
        <v>0</v>
      </c>
      <c r="AY134"/>
      <c r="AZ134"/>
      <c r="BA134"/>
    </row>
    <row r="135" spans="1:53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t="s">
        <v>1710</v>
      </c>
      <c r="F135" t="str">
        <f>_xlfn.XLOOKUP(PROPERTIES[[#This Row],[COUNTRY]],COUNTRIES[COUNTRY_DESCRIPTION],COUNTRIES[COUNTRY_LABEL],"")</f>
        <v>AU</v>
      </c>
      <c r="G135" t="str" cm="1">
        <f t="array" ref="G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5" t="s">
        <v>19</v>
      </c>
      <c r="I135">
        <v>0</v>
      </c>
      <c r="J135">
        <v>4</v>
      </c>
      <c r="K135">
        <v>12</v>
      </c>
      <c r="L135" t="str" cm="1">
        <f t="array" ref="L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5">
        <f>_xlfn.XLOOKUP("LOADINGSPEEDDEF_"&amp;PROPERTIES[[#This Row],[LOADINGSPEED]],LOADINGSPEEDDEF[TYPE],LOADINGSPEEDDEF[SPEED])</f>
        <v>20</v>
      </c>
      <c r="N135" cm="1">
        <f t="array" ref="N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5">
        <f>IF(ISNUMBER(SEARCH("passenger",PROPERTIES[[#This Row],[CARGODEF]])),1,0)</f>
        <v>0</v>
      </c>
      <c r="P135" s="29">
        <v>259</v>
      </c>
      <c r="Q135">
        <v>3500</v>
      </c>
      <c r="R135">
        <v>95</v>
      </c>
      <c r="S135" s="26">
        <f>264.9*2</f>
        <v>529.79999999999995</v>
      </c>
      <c r="T135" s="25">
        <f>IFERROR(PROPERTIES[[#This Row],[TE_STARTING_KN]]/(PROPERTIES[[#This Row],[WEIGHT]]*9.81),0)</f>
        <v>0.20851782319672227</v>
      </c>
      <c r="U135" s="25">
        <v>0.11</v>
      </c>
      <c r="V135" s="22">
        <f>ROUND(IF(IFERROR(PROPERTIES[[#This Row],[TE_COEFFICIENT_CALC]],0)=0,PROPERTIES[[#This Row],[TE_COEFFICIENT_MANUAL]],PROPERTIES[[#This Row],[TE_COEFFICIENT_CALC]]),3)</f>
        <v>0.20899999999999999</v>
      </c>
      <c r="W135" s="10" cm="1">
        <f t="array" ref="W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5" s="32">
        <v>0</v>
      </c>
      <c r="Y135" s="8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8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9" t="b">
        <v>0</v>
      </c>
      <c r="AY135"/>
      <c r="AZ135"/>
      <c r="BA135"/>
    </row>
    <row r="136" spans="1:53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t="s">
        <v>1929</v>
      </c>
      <c r="F136" t="str">
        <f>_xlfn.XLOOKUP(PROPERTIES[[#This Row],[COUNTRY]],COUNTRIES[COUNTRY_DESCRIPTION],COUNTRIES[COUNTRY_LABEL],"")</f>
        <v>UY</v>
      </c>
      <c r="G136" t="str" cm="1">
        <f t="array" ref="G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6" t="s">
        <v>19</v>
      </c>
      <c r="I136">
        <v>0</v>
      </c>
      <c r="J136">
        <v>5</v>
      </c>
      <c r="K136">
        <v>8</v>
      </c>
      <c r="L136" t="str" cm="1">
        <f t="array" ref="L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6">
        <f>_xlfn.XLOOKUP("LOADINGSPEEDDEF_"&amp;PROPERTIES[[#This Row],[LOADINGSPEED]],LOADINGSPEEDDEF[TYPE],LOADINGSPEEDDEF[SPEED])</f>
        <v>20</v>
      </c>
      <c r="N136" cm="1">
        <f t="array" ref="N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6">
        <f>IF(ISNUMBER(SEARCH("passenger",PROPERTIES[[#This Row],[CARGODEF]])),1,0)</f>
        <v>0</v>
      </c>
      <c r="P136" s="29">
        <v>84.5</v>
      </c>
      <c r="Q136">
        <v>650</v>
      </c>
      <c r="R136">
        <v>75</v>
      </c>
      <c r="S136" s="26">
        <v>0</v>
      </c>
      <c r="T136" s="25">
        <f>IFERROR(PROPERTIES[[#This Row],[TE_STARTING_KN]]/(PROPERTIES[[#This Row],[WEIGHT]]*9.81),0)</f>
        <v>0</v>
      </c>
      <c r="U136" s="25">
        <v>0.1</v>
      </c>
      <c r="V136" s="22">
        <f>ROUND(IF(IFERROR(PROPERTIES[[#This Row],[TE_COEFFICIENT_CALC]],0)=0,PROPERTIES[[#This Row],[TE_COEFFICIENT_MANUAL]],PROPERTIES[[#This Row],[TE_COEFFICIENT_CALC]]),3)</f>
        <v>0.1</v>
      </c>
      <c r="W136" s="10" cm="1">
        <f t="array" ref="W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6" s="32">
        <v>0</v>
      </c>
      <c r="Y136" s="8">
        <v>3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8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9" t="b">
        <v>0</v>
      </c>
      <c r="AY136"/>
      <c r="AZ136"/>
      <c r="BA136"/>
    </row>
    <row r="137" spans="1:53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t="s">
        <v>1707</v>
      </c>
      <c r="F137" t="str">
        <f>_xlfn.XLOOKUP(PROPERTIES[[#This Row],[COUNTRY]],COUNTRIES[COUNTRY_DESCRIPTION],COUNTRIES[COUNTRY_LABEL],"")</f>
        <v>AR</v>
      </c>
      <c r="G137" t="str" cm="1">
        <f t="array" ref="G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7" t="s">
        <v>19</v>
      </c>
      <c r="I137">
        <v>0</v>
      </c>
      <c r="J137">
        <v>8</v>
      </c>
      <c r="K137">
        <v>13</v>
      </c>
      <c r="L137" t="str" cm="1">
        <f t="array" ref="L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7">
        <f>_xlfn.XLOOKUP("LOADINGSPEEDDEF_"&amp;PROPERTIES[[#This Row],[LOADINGSPEED]],LOADINGSPEEDDEF[TYPE],LOADINGSPEEDDEF[SPEED])</f>
        <v>20</v>
      </c>
      <c r="N137" cm="1">
        <f t="array" ref="N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7">
        <f>IF(ISNUMBER(SEARCH("passenger",PROPERTIES[[#This Row],[CARGODEF]])),1,0)</f>
        <v>0</v>
      </c>
      <c r="P137" s="29">
        <v>203</v>
      </c>
      <c r="Q137">
        <v>1500</v>
      </c>
      <c r="R137">
        <v>160</v>
      </c>
      <c r="S137" s="26">
        <v>0</v>
      </c>
      <c r="T137" s="25">
        <f>IFERROR(PROPERTIES[[#This Row],[TE_STARTING_KN]]/(PROPERTIES[[#This Row],[WEIGHT]]*9.81),0)</f>
        <v>0</v>
      </c>
      <c r="U137" s="25">
        <v>0.08</v>
      </c>
      <c r="V137" s="22">
        <f>ROUND(IF(IFERROR(PROPERTIES[[#This Row],[TE_COEFFICIENT_CALC]],0)=0,PROPERTIES[[#This Row],[TE_COEFFICIENT_MANUAL]],PROPERTIES[[#This Row],[TE_COEFFICIENT_CALC]]),3)</f>
        <v>0.08</v>
      </c>
      <c r="W137" s="10" cm="1">
        <f t="array" ref="W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7" s="32">
        <v>0</v>
      </c>
      <c r="Y137" s="8">
        <v>5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8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9" t="b">
        <v>0</v>
      </c>
      <c r="AY137"/>
      <c r="AZ137"/>
      <c r="BA137"/>
    </row>
    <row r="138" spans="1:53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t="s">
        <v>1942</v>
      </c>
      <c r="F138" t="str">
        <f>_xlfn.XLOOKUP(PROPERTIES[[#This Row],[COUNTRY]],COUNTRIES[COUNTRY_DESCRIPTION],COUNTRIES[COUNTRY_LABEL],"")</f>
        <v>ZA</v>
      </c>
      <c r="G138" t="str" cm="1">
        <f t="array" ref="G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8" t="s">
        <v>19</v>
      </c>
      <c r="I138">
        <v>0</v>
      </c>
      <c r="J138">
        <v>3</v>
      </c>
      <c r="K138">
        <v>3</v>
      </c>
      <c r="L138" t="str" cm="1">
        <f t="array" ref="L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8">
        <f>_xlfn.XLOOKUP("LOADINGSPEEDDEF_"&amp;PROPERTIES[[#This Row],[LOADINGSPEED]],LOADINGSPEEDDEF[TYPE],LOADINGSPEEDDEF[SPEED])</f>
        <v>20</v>
      </c>
      <c r="N138" cm="1">
        <f t="array" ref="N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8">
        <f>IF(ISNUMBER(SEARCH("passenger",PROPERTIES[[#This Row],[CARGODEF]])),1,0)</f>
        <v>0</v>
      </c>
      <c r="P138" s="29">
        <v>8</v>
      </c>
      <c r="Q138">
        <v>40</v>
      </c>
      <c r="R138">
        <v>16</v>
      </c>
      <c r="S138" s="26">
        <v>14.6</v>
      </c>
      <c r="T138" s="25">
        <f>IFERROR(PROPERTIES[[#This Row],[TE_STARTING_KN]]/(PROPERTIES[[#This Row],[WEIGHT]]*9.81),0)</f>
        <v>0.18603465851172271</v>
      </c>
      <c r="U138" s="25">
        <v>0.06</v>
      </c>
      <c r="V138" s="22">
        <f>ROUND(IF(IFERROR(PROPERTIES[[#This Row],[TE_COEFFICIENT_CALC]],0)=0,PROPERTIES[[#This Row],[TE_COEFFICIENT_MANUAL]],PROPERTIES[[#This Row],[TE_COEFFICIENT_CALC]]),3)</f>
        <v>0.186</v>
      </c>
      <c r="W138" s="10" cm="1">
        <f t="array" ref="W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38" s="32">
        <v>0</v>
      </c>
      <c r="Y138" s="8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8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9" t="b">
        <v>0</v>
      </c>
      <c r="AY138"/>
      <c r="AZ138"/>
      <c r="BA138"/>
    </row>
    <row r="139" spans="1:53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t="s">
        <v>1855</v>
      </c>
      <c r="F139" t="str">
        <f>_xlfn.XLOOKUP(PROPERTIES[[#This Row],[COUNTRY]],COUNTRIES[COUNTRY_DESCRIPTION],COUNTRIES[COUNTRY_LABEL],"")</f>
        <v>MZ</v>
      </c>
      <c r="G139" t="str" cm="1">
        <f t="array" ref="G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9" t="s">
        <v>19</v>
      </c>
      <c r="I139">
        <v>0</v>
      </c>
      <c r="J139">
        <v>4</v>
      </c>
      <c r="K139">
        <v>7</v>
      </c>
      <c r="L139" t="str" cm="1">
        <f t="array" ref="L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9">
        <f>_xlfn.XLOOKUP("LOADINGSPEEDDEF_"&amp;PROPERTIES[[#This Row],[LOADINGSPEED]],LOADINGSPEEDDEF[TYPE],LOADINGSPEEDDEF[SPEED])</f>
        <v>20</v>
      </c>
      <c r="N139" cm="1">
        <f t="array" ref="N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9">
        <f>IF(ISNUMBER(SEARCH("passenger",PROPERTIES[[#This Row],[CARGODEF]])),1,0)</f>
        <v>0</v>
      </c>
      <c r="P139" s="29">
        <v>20</v>
      </c>
      <c r="Q139">
        <v>120</v>
      </c>
      <c r="R139">
        <v>30</v>
      </c>
      <c r="S139" s="26">
        <v>13</v>
      </c>
      <c r="T139" s="25">
        <f>IFERROR(PROPERTIES[[#This Row],[TE_STARTING_KN]]/(PROPERTIES[[#This Row],[WEIGHT]]*9.81),0)</f>
        <v>6.6258919469928637E-2</v>
      </c>
      <c r="U139" s="25">
        <v>0.08</v>
      </c>
      <c r="V139" s="22">
        <f>ROUND(IF(IFERROR(PROPERTIES[[#This Row],[TE_COEFFICIENT_CALC]],0)=0,PROPERTIES[[#This Row],[TE_COEFFICIENT_MANUAL]],PROPERTIES[[#This Row],[TE_COEFFICIENT_CALC]]),3)</f>
        <v>6.6000000000000003E-2</v>
      </c>
      <c r="W139" s="10" cm="1">
        <f t="array" ref="W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9" s="32">
        <v>0</v>
      </c>
      <c r="Y139" s="8">
        <v>3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8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9" t="b">
        <v>0</v>
      </c>
      <c r="AY139"/>
      <c r="AZ139"/>
      <c r="BA139"/>
    </row>
    <row r="140" spans="1:53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t="s">
        <v>1764</v>
      </c>
      <c r="F140" t="str">
        <f>_xlfn.XLOOKUP(PROPERTIES[[#This Row],[COUNTRY]],COUNTRIES[COUNTRY_DESCRIPTION],COUNTRIES[COUNTRY_LABEL],"")</f>
        <v>ER</v>
      </c>
      <c r="G140" t="str" cm="1">
        <f t="array" ref="G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0" t="s">
        <v>19</v>
      </c>
      <c r="I140">
        <v>0</v>
      </c>
      <c r="J140">
        <v>5</v>
      </c>
      <c r="K140">
        <v>5</v>
      </c>
      <c r="L140" t="str" cm="1">
        <f t="array" ref="L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0">
        <f>_xlfn.XLOOKUP("LOADINGSPEEDDEF_"&amp;PROPERTIES[[#This Row],[LOADINGSPEED]],LOADINGSPEEDDEF[TYPE],LOADINGSPEEDDEF[SPEED])</f>
        <v>20</v>
      </c>
      <c r="N140" cm="1">
        <f t="array" ref="N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0">
        <f>IF(ISNUMBER(SEARCH("passenger",PROPERTIES[[#This Row],[CARGODEF]])),1,0)</f>
        <v>0</v>
      </c>
      <c r="P140" s="29">
        <v>35</v>
      </c>
      <c r="Q140">
        <v>250</v>
      </c>
      <c r="R140">
        <v>40</v>
      </c>
      <c r="S140" s="26">
        <v>48</v>
      </c>
      <c r="T140" s="25">
        <f>IFERROR(PROPERTIES[[#This Row],[TE_STARTING_KN]]/(PROPERTIES[[#This Row],[WEIGHT]]*9.81),0)</f>
        <v>0.13979903888160769</v>
      </c>
      <c r="U140" s="25">
        <v>0.14000000000000001</v>
      </c>
      <c r="V140" s="22">
        <f>ROUND(IF(IFERROR(PROPERTIES[[#This Row],[TE_COEFFICIENT_CALC]],0)=0,PROPERTIES[[#This Row],[TE_COEFFICIENT_MANUAL]],PROPERTIES[[#This Row],[TE_COEFFICIENT_CALC]]),3)</f>
        <v>0.14000000000000001</v>
      </c>
      <c r="W140" s="10" cm="1">
        <f t="array" ref="W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0" s="32">
        <v>0</v>
      </c>
      <c r="Y140" s="8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8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9" t="b">
        <v>0</v>
      </c>
      <c r="AY140"/>
      <c r="AZ140"/>
      <c r="BA140"/>
    </row>
    <row r="141" spans="1:53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t="s">
        <v>1811</v>
      </c>
      <c r="F141" t="str">
        <f>_xlfn.XLOOKUP(PROPERTIES[[#This Row],[COUNTRY]],COUNTRIES[COUNTRY_DESCRIPTION],COUNTRIES[COUNTRY_LABEL],"")</f>
        <v>KE</v>
      </c>
      <c r="G141" t="str" cm="1">
        <f t="array" ref="G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1" t="s">
        <v>19</v>
      </c>
      <c r="I141">
        <v>0</v>
      </c>
      <c r="J141">
        <v>5</v>
      </c>
      <c r="K141">
        <v>8</v>
      </c>
      <c r="L141" t="str" cm="1">
        <f t="array" ref="L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1">
        <f>_xlfn.XLOOKUP("LOADINGSPEEDDEF_"&amp;PROPERTIES[[#This Row],[LOADINGSPEED]],LOADINGSPEEDDEF[TYPE],LOADINGSPEEDDEF[SPEED])</f>
        <v>20</v>
      </c>
      <c r="N141" cm="1">
        <f t="array" ref="N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1">
        <f>IF(ISNUMBER(SEARCH("passenger",PROPERTIES[[#This Row],[CARGODEF]])),1,0)</f>
        <v>0</v>
      </c>
      <c r="P141" s="29">
        <v>108</v>
      </c>
      <c r="Q141">
        <v>1100</v>
      </c>
      <c r="R141">
        <v>75</v>
      </c>
      <c r="S141" s="26">
        <v>108.49</v>
      </c>
      <c r="T141" s="25">
        <f>IFERROR(PROPERTIES[[#This Row],[TE_STARTING_KN]]/(PROPERTIES[[#This Row],[WEIGHT]]*9.81),0)</f>
        <v>0.10239929021784271</v>
      </c>
      <c r="U141" s="25">
        <v>0.14000000000000001</v>
      </c>
      <c r="V141" s="22">
        <f>ROUND(IF(IFERROR(PROPERTIES[[#This Row],[TE_COEFFICIENT_CALC]],0)=0,PROPERTIES[[#This Row],[TE_COEFFICIENT_MANUAL]],PROPERTIES[[#This Row],[TE_COEFFICIENT_CALC]]),3)</f>
        <v>0.10199999999999999</v>
      </c>
      <c r="W141" s="10" cm="1">
        <f t="array" ref="W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1" s="32">
        <v>0</v>
      </c>
      <c r="Y141" s="8">
        <v>3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8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9" t="b">
        <v>0</v>
      </c>
      <c r="AY141"/>
      <c r="AZ141"/>
      <c r="BA141"/>
    </row>
    <row r="142" spans="1:53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t="s">
        <v>1811</v>
      </c>
      <c r="F142" t="str">
        <f>_xlfn.XLOOKUP(PROPERTIES[[#This Row],[COUNTRY]],COUNTRIES[COUNTRY_DESCRIPTION],COUNTRIES[COUNTRY_LABEL],"")</f>
        <v>KE</v>
      </c>
      <c r="G142" t="str" cm="1">
        <f t="array" ref="G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2" t="s">
        <v>19</v>
      </c>
      <c r="I142">
        <v>0</v>
      </c>
      <c r="J142">
        <v>6</v>
      </c>
      <c r="K142">
        <v>9</v>
      </c>
      <c r="L142" t="str" cm="1">
        <f t="array" ref="L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2">
        <f>_xlfn.XLOOKUP("LOADINGSPEEDDEF_"&amp;PROPERTIES[[#This Row],[LOADINGSPEED]],LOADINGSPEEDDEF[TYPE],LOADINGSPEEDDEF[SPEED])</f>
        <v>20</v>
      </c>
      <c r="N142" cm="1">
        <f t="array" ref="N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2">
        <f>IF(ISNUMBER(SEARCH("passenger",PROPERTIES[[#This Row],[CARGODEF]])),1,0)</f>
        <v>0</v>
      </c>
      <c r="P142" s="29">
        <v>94.2</v>
      </c>
      <c r="Q142">
        <v>900</v>
      </c>
      <c r="R142">
        <v>65</v>
      </c>
      <c r="S142" s="26">
        <v>108.09</v>
      </c>
      <c r="T142" s="25">
        <f>IFERROR(PROPERTIES[[#This Row],[TE_STARTING_KN]]/(PROPERTIES[[#This Row],[WEIGHT]]*9.81),0)</f>
        <v>0.11696760747190245</v>
      </c>
      <c r="U142" s="25">
        <v>0.13</v>
      </c>
      <c r="V142" s="22">
        <f>ROUND(IF(IFERROR(PROPERTIES[[#This Row],[TE_COEFFICIENT_CALC]],0)=0,PROPERTIES[[#This Row],[TE_COEFFICIENT_MANUAL]],PROPERTIES[[#This Row],[TE_COEFFICIENT_CALC]]),3)</f>
        <v>0.11700000000000001</v>
      </c>
      <c r="W142" s="10" cm="1">
        <f t="array" ref="W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2" s="32">
        <v>0</v>
      </c>
      <c r="Y142" s="8">
        <v>3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8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9" t="b">
        <v>0</v>
      </c>
      <c r="AY142"/>
      <c r="AZ142"/>
      <c r="BA142"/>
    </row>
    <row r="143" spans="1:53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t="s">
        <v>1944</v>
      </c>
      <c r="F143" t="str">
        <f>_xlfn.XLOOKUP(PROPERTIES[[#This Row],[COUNTRY]],COUNTRIES[COUNTRY_DESCRIPTION],COUNTRIES[COUNTRY_LABEL],"")</f>
        <v>ZW</v>
      </c>
      <c r="G143" t="str" cm="1">
        <f t="array" ref="G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3" t="s">
        <v>19</v>
      </c>
      <c r="I143">
        <v>0</v>
      </c>
      <c r="J143">
        <v>4</v>
      </c>
      <c r="K143">
        <v>12</v>
      </c>
      <c r="L143" t="str" cm="1">
        <f t="array" ref="L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3">
        <f>_xlfn.XLOOKUP("LOADINGSPEEDDEF_"&amp;PROPERTIES[[#This Row],[LOADINGSPEED]],LOADINGSPEEDDEF[TYPE],LOADINGSPEEDDEF[SPEED])</f>
        <v>20</v>
      </c>
      <c r="N143" cm="1">
        <f t="array" ref="N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3">
        <f>IF(ISNUMBER(SEARCH("passenger",PROPERTIES[[#This Row],[CARGODEF]])),1,0)</f>
        <v>0</v>
      </c>
      <c r="P143" s="29">
        <v>179.5</v>
      </c>
      <c r="Q143">
        <v>1600</v>
      </c>
      <c r="R143">
        <v>100</v>
      </c>
      <c r="S143" s="26">
        <v>190.1</v>
      </c>
      <c r="T143" s="25">
        <f>IFERROR(PROPERTIES[[#This Row],[TE_STARTING_KN]]/(PROPERTIES[[#This Row],[WEIGHT]]*9.81),0)</f>
        <v>0.10795646532019229</v>
      </c>
      <c r="U143" s="25">
        <v>0.1</v>
      </c>
      <c r="V143" s="22">
        <f>ROUND(IF(IFERROR(PROPERTIES[[#This Row],[TE_COEFFICIENT_CALC]],0)=0,PROPERTIES[[#This Row],[TE_COEFFICIENT_MANUAL]],PROPERTIES[[#This Row],[TE_COEFFICIENT_CALC]]),3)</f>
        <v>0.108</v>
      </c>
      <c r="W143" s="10" cm="1">
        <f t="array" ref="W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43" s="32">
        <v>0</v>
      </c>
      <c r="Y143" s="8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8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9" t="b">
        <v>0</v>
      </c>
      <c r="AY143"/>
      <c r="AZ143"/>
      <c r="BA143"/>
    </row>
    <row r="144" spans="1:53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t="s">
        <v>1942</v>
      </c>
      <c r="F144" t="str">
        <f>_xlfn.XLOOKUP(PROPERTIES[[#This Row],[COUNTRY]],COUNTRIES[COUNTRY_DESCRIPTION],COUNTRIES[COUNTRY_LABEL],"")</f>
        <v>ZA</v>
      </c>
      <c r="G144" t="str" cm="1">
        <f t="array" ref="G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4" t="s">
        <v>19</v>
      </c>
      <c r="I144">
        <v>0</v>
      </c>
      <c r="J144">
        <v>5</v>
      </c>
      <c r="K144">
        <v>12</v>
      </c>
      <c r="L144" t="str" cm="1">
        <f t="array" ref="L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4">
        <f>_xlfn.XLOOKUP("LOADINGSPEEDDEF_"&amp;PROPERTIES[[#This Row],[LOADINGSPEED]],LOADINGSPEEDDEF[TYPE],LOADINGSPEEDDEF[SPEED])</f>
        <v>20</v>
      </c>
      <c r="N144" cm="1">
        <f t="array" ref="N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4">
        <f>IF(ISNUMBER(SEARCH("passenger",PROPERTIES[[#This Row],[CARGODEF]])),1,0)</f>
        <v>0</v>
      </c>
      <c r="P144" s="29">
        <v>241.3</v>
      </c>
      <c r="Q144">
        <v>2500</v>
      </c>
      <c r="R144">
        <v>85</v>
      </c>
      <c r="S144" s="26">
        <v>430</v>
      </c>
      <c r="T144" s="25">
        <f>IFERROR(PROPERTIES[[#This Row],[TE_STARTING_KN]]/(PROPERTIES[[#This Row],[WEIGHT]]*9.81),0)</f>
        <v>0.1816528124713527</v>
      </c>
      <c r="U144" s="25">
        <v>0.13</v>
      </c>
      <c r="V144" s="22">
        <f>ROUND(IF(IFERROR(PROPERTIES[[#This Row],[TE_COEFFICIENT_CALC]],0)=0,PROPERTIES[[#This Row],[TE_COEFFICIENT_MANUAL]],PROPERTIES[[#This Row],[TE_COEFFICIENT_CALC]]),3)</f>
        <v>0.182</v>
      </c>
      <c r="W144" s="10" cm="1">
        <f t="array" ref="W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4" s="32">
        <v>0</v>
      </c>
      <c r="Y144" s="8">
        <v>4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8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9" t="b">
        <v>0</v>
      </c>
      <c r="AY144"/>
      <c r="AZ144"/>
      <c r="BA144"/>
    </row>
    <row r="145" spans="1:53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t="s">
        <v>1811</v>
      </c>
      <c r="F145" t="str">
        <f>_xlfn.XLOOKUP(PROPERTIES[[#This Row],[COUNTRY]],COUNTRIES[COUNTRY_DESCRIPTION],COUNTRIES[COUNTRY_LABEL],"")</f>
        <v>KE</v>
      </c>
      <c r="G145" t="str" cm="1">
        <f t="array" ref="G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5" t="s">
        <v>19</v>
      </c>
      <c r="I145">
        <v>0</v>
      </c>
      <c r="J145">
        <v>7</v>
      </c>
      <c r="K145">
        <v>11</v>
      </c>
      <c r="L145" t="str" cm="1">
        <f t="array" ref="L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5">
        <f>_xlfn.XLOOKUP("LOADINGSPEEDDEF_"&amp;PROPERTIES[[#This Row],[LOADINGSPEED]],LOADINGSPEEDDEF[TYPE],LOADINGSPEEDDEF[SPEED])</f>
        <v>20</v>
      </c>
      <c r="N145" cm="1">
        <f t="array" ref="N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5">
        <f>IF(ISNUMBER(SEARCH("passenger",PROPERTIES[[#This Row],[CARGODEF]])),1,0)</f>
        <v>0</v>
      </c>
      <c r="P145" s="29">
        <v>135.19999999999999</v>
      </c>
      <c r="Q145">
        <v>1650</v>
      </c>
      <c r="R145">
        <v>95</v>
      </c>
      <c r="S145" s="26">
        <v>118.32</v>
      </c>
      <c r="T145" s="25">
        <f>IFERROR(PROPERTIES[[#This Row],[TE_STARTING_KN]]/(PROPERTIES[[#This Row],[WEIGHT]]*9.81),0)</f>
        <v>8.9209778694605793E-2</v>
      </c>
      <c r="U145" s="25">
        <v>0.1</v>
      </c>
      <c r="V145" s="22">
        <f>ROUND(IF(IFERROR(PROPERTIES[[#This Row],[TE_COEFFICIENT_CALC]],0)=0,PROPERTIES[[#This Row],[TE_COEFFICIENT_MANUAL]],PROPERTIES[[#This Row],[TE_COEFFICIENT_CALC]]),3)</f>
        <v>8.8999999999999996E-2</v>
      </c>
      <c r="W145" s="10" cm="1">
        <f t="array" ref="W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5" s="32">
        <v>0</v>
      </c>
      <c r="Y145" s="8">
        <v>4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8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9" t="b">
        <v>0</v>
      </c>
      <c r="AY145"/>
      <c r="AZ145"/>
      <c r="BA145"/>
    </row>
    <row r="146" spans="1:53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t="s">
        <v>1801</v>
      </c>
      <c r="F146" t="str">
        <f>_xlfn.XLOOKUP(PROPERTIES[[#This Row],[COUNTRY]],COUNTRIES[COUNTRY_DESCRIPTION],COUNTRIES[COUNTRY_LABEL],"")</f>
        <v>IN</v>
      </c>
      <c r="G146" t="str" cm="1">
        <f t="array" ref="G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6" t="s">
        <v>19</v>
      </c>
      <c r="I146">
        <v>0</v>
      </c>
      <c r="J146">
        <v>5</v>
      </c>
      <c r="K146">
        <v>5</v>
      </c>
      <c r="L146" t="str" cm="1">
        <f t="array" ref="L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6">
        <f>_xlfn.XLOOKUP("LOADINGSPEEDDEF_"&amp;PROPERTIES[[#This Row],[LOADINGSPEED]],LOADINGSPEEDDEF[TYPE],LOADINGSPEEDDEF[SPEED])</f>
        <v>20</v>
      </c>
      <c r="N146" cm="1">
        <f t="array" ref="N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6">
        <f>IF(ISNUMBER(SEARCH("passenger",PROPERTIES[[#This Row],[CARGODEF]])),1,0)</f>
        <v>0</v>
      </c>
      <c r="P146" s="29">
        <v>28</v>
      </c>
      <c r="Q146">
        <v>130</v>
      </c>
      <c r="R146">
        <v>40</v>
      </c>
      <c r="S146" s="26">
        <v>20</v>
      </c>
      <c r="T146" s="25">
        <f>IFERROR(PROPERTIES[[#This Row],[TE_STARTING_KN]]/(PROPERTIES[[#This Row],[WEIGHT]]*9.81),0)</f>
        <v>7.2811999417504006E-2</v>
      </c>
      <c r="U146" s="25">
        <v>0.16</v>
      </c>
      <c r="V146" s="22">
        <f>ROUND(IF(IFERROR(PROPERTIES[[#This Row],[TE_COEFFICIENT_CALC]],0)=0,PROPERTIES[[#This Row],[TE_COEFFICIENT_MANUAL]],PROPERTIES[[#This Row],[TE_COEFFICIENT_CALC]]),3)</f>
        <v>7.2999999999999995E-2</v>
      </c>
      <c r="W146" s="10" cm="1">
        <f t="array" ref="W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46" s="32">
        <v>0</v>
      </c>
      <c r="Y146" s="8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8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9" t="b">
        <v>0</v>
      </c>
      <c r="AY146"/>
      <c r="AZ146"/>
      <c r="BA146"/>
    </row>
    <row r="147" spans="1:53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t="s">
        <v>1801</v>
      </c>
      <c r="F147" t="str">
        <f>_xlfn.XLOOKUP(PROPERTIES[[#This Row],[COUNTRY]],COUNTRIES[COUNTRY_DESCRIPTION],COUNTRIES[COUNTRY_LABEL],"")</f>
        <v>IN</v>
      </c>
      <c r="G147" t="str" cm="1">
        <f t="array" ref="G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7" t="s">
        <v>19</v>
      </c>
      <c r="I147">
        <v>0</v>
      </c>
      <c r="J147">
        <v>5</v>
      </c>
      <c r="K147">
        <v>7</v>
      </c>
      <c r="L147" t="str" cm="1">
        <f t="array" ref="L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7">
        <f>_xlfn.XLOOKUP("LOADINGSPEEDDEF_"&amp;PROPERTIES[[#This Row],[LOADINGSPEED]],LOADINGSPEEDDEF[TYPE],LOADINGSPEEDDEF[SPEED])</f>
        <v>20</v>
      </c>
      <c r="N147" cm="1">
        <f t="array" ref="N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7">
        <f>IF(ISNUMBER(SEARCH("passenger",PROPERTIES[[#This Row],[CARGODEF]])),1,0)</f>
        <v>0</v>
      </c>
      <c r="P147" s="29">
        <v>14.2</v>
      </c>
      <c r="Q147">
        <v>100</v>
      </c>
      <c r="R147">
        <v>25</v>
      </c>
      <c r="S147" s="26">
        <v>34.47</v>
      </c>
      <c r="T147" s="25">
        <f>IFERROR(PROPERTIES[[#This Row],[TE_STARTING_KN]]/(PROPERTIES[[#This Row],[WEIGHT]]*9.81),0)</f>
        <v>0.24744799069647241</v>
      </c>
      <c r="U147" s="25">
        <v>0.18</v>
      </c>
      <c r="V147" s="22">
        <f>ROUND(IF(IFERROR(PROPERTIES[[#This Row],[TE_COEFFICIENT_CALC]],0)=0,PROPERTIES[[#This Row],[TE_COEFFICIENT_MANUAL]],PROPERTIES[[#This Row],[TE_COEFFICIENT_CALC]]),3)</f>
        <v>0.247</v>
      </c>
      <c r="W147" s="10" cm="1">
        <f t="array" ref="W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7" s="32">
        <v>0</v>
      </c>
      <c r="Y147" s="8">
        <v>2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8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9" t="b">
        <v>0</v>
      </c>
      <c r="AY147"/>
      <c r="AZ147"/>
      <c r="BA147"/>
    </row>
    <row r="148" spans="1:53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t="s">
        <v>1745</v>
      </c>
      <c r="F148" t="str">
        <f>_xlfn.XLOOKUP(PROPERTIES[[#This Row],[COUNTRY]],COUNTRIES[COUNTRY_DESCRIPTION],COUNTRIES[COUNTRY_LABEL],"")</f>
        <v>CN</v>
      </c>
      <c r="G148" t="str" cm="1">
        <f t="array" ref="G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8" t="s">
        <v>19</v>
      </c>
      <c r="I148">
        <v>0</v>
      </c>
      <c r="J148">
        <v>5</v>
      </c>
      <c r="K148">
        <v>8</v>
      </c>
      <c r="L148" t="str" cm="1">
        <f t="array" ref="L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8">
        <f>_xlfn.XLOOKUP("LOADINGSPEEDDEF_"&amp;PROPERTIES[[#This Row],[LOADINGSPEED]],LOADINGSPEEDDEF[TYPE],LOADINGSPEEDDEF[SPEED])</f>
        <v>20</v>
      </c>
      <c r="N148" cm="1">
        <f t="array" ref="N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8">
        <f>IF(ISNUMBER(SEARCH("passenger",PROPERTIES[[#This Row],[CARGODEF]])),1,0)</f>
        <v>0</v>
      </c>
      <c r="P148" s="29">
        <v>102.5</v>
      </c>
      <c r="Q148">
        <v>850</v>
      </c>
      <c r="R148">
        <v>70</v>
      </c>
      <c r="S148" s="26">
        <v>130</v>
      </c>
      <c r="T148" s="25">
        <f>IFERROR(PROPERTIES[[#This Row],[TE_STARTING_KN]]/(PROPERTIES[[#This Row],[WEIGHT]]*9.81),0)</f>
        <v>0.12928569652669003</v>
      </c>
      <c r="U148" s="25">
        <v>0.16</v>
      </c>
      <c r="V148" s="22">
        <f>ROUND(IF(IFERROR(PROPERTIES[[#This Row],[TE_COEFFICIENT_CALC]],0)=0,PROPERTIES[[#This Row],[TE_COEFFICIENT_MANUAL]],PROPERTIES[[#This Row],[TE_COEFFICIENT_CALC]]),3)</f>
        <v>0.129</v>
      </c>
      <c r="W148" s="10" cm="1">
        <f t="array" ref="W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8" s="32">
        <v>0</v>
      </c>
      <c r="Y148" s="8">
        <v>3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8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9" t="b">
        <v>0</v>
      </c>
      <c r="AY148"/>
      <c r="AZ148"/>
      <c r="BA148"/>
    </row>
    <row r="149" spans="1:53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t="s">
        <v>1887</v>
      </c>
      <c r="F149" t="str">
        <f>_xlfn.XLOOKUP(PROPERTIES[[#This Row],[COUNTRY]],COUNTRIES[COUNTRY_DESCRIPTION],COUNTRIES[COUNTRY_LABEL],"")</f>
        <v>RU</v>
      </c>
      <c r="G149" t="str" cm="1">
        <f t="array" ref="G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9" t="s">
        <v>19</v>
      </c>
      <c r="I149">
        <v>0</v>
      </c>
      <c r="J149">
        <v>5</v>
      </c>
      <c r="K149">
        <v>8</v>
      </c>
      <c r="L149" t="str" cm="1">
        <f t="array" ref="L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9">
        <f>_xlfn.XLOOKUP("LOADINGSPEEDDEF_"&amp;PROPERTIES[[#This Row],[LOADINGSPEED]],LOADINGSPEEDDEF[TYPE],LOADINGSPEEDDEF[SPEED])</f>
        <v>20</v>
      </c>
      <c r="N149" cm="1">
        <f t="array" ref="N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9">
        <f>IF(ISNUMBER(SEARCH("passenger",PROPERTIES[[#This Row],[CARGODEF]])),1,0)</f>
        <v>0</v>
      </c>
      <c r="P149" s="29">
        <v>126.5</v>
      </c>
      <c r="Q149">
        <v>1200</v>
      </c>
      <c r="R149">
        <v>115</v>
      </c>
      <c r="S149" s="26">
        <v>87</v>
      </c>
      <c r="T149" s="25">
        <f>IFERROR(PROPERTIES[[#This Row],[TE_STARTING_KN]]/(PROPERTIES[[#This Row],[WEIGHT]]*9.81),0)</f>
        <v>7.0106731454956411E-2</v>
      </c>
      <c r="U149" s="25">
        <v>0.13</v>
      </c>
      <c r="V149" s="22">
        <f>ROUND(IF(IFERROR(PROPERTIES[[#This Row],[TE_COEFFICIENT_CALC]],0)=0,PROPERTIES[[#This Row],[TE_COEFFICIENT_MANUAL]],PROPERTIES[[#This Row],[TE_COEFFICIENT_CALC]]),3)</f>
        <v>7.0000000000000007E-2</v>
      </c>
      <c r="W149" s="10" cm="1">
        <f t="array" ref="W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9" s="32">
        <v>0</v>
      </c>
      <c r="Y149" s="8">
        <v>3</v>
      </c>
      <c r="Z149" t="s">
        <v>3514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8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9" t="b">
        <v>0</v>
      </c>
      <c r="AY149"/>
      <c r="AZ149"/>
      <c r="BA149"/>
    </row>
    <row r="150" spans="1:53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t="s">
        <v>1887</v>
      </c>
      <c r="F150" t="str">
        <f>_xlfn.XLOOKUP(PROPERTIES[[#This Row],[COUNTRY]],COUNTRIES[COUNTRY_DESCRIPTION],COUNTRIES[COUNTRY_LABEL],"")</f>
        <v>RU</v>
      </c>
      <c r="G150" t="str" cm="1">
        <f t="array" ref="G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0" t="s">
        <v>19</v>
      </c>
      <c r="I150">
        <v>0</v>
      </c>
      <c r="J150">
        <v>5</v>
      </c>
      <c r="K150">
        <v>8</v>
      </c>
      <c r="L150" t="str" cm="1">
        <f t="array" ref="L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0">
        <f>_xlfn.XLOOKUP("LOADINGSPEEDDEF_"&amp;PROPERTIES[[#This Row],[LOADINGSPEED]],LOADINGSPEEDDEF[TYPE],LOADINGSPEEDDEF[SPEED])</f>
        <v>20</v>
      </c>
      <c r="N150" cm="1">
        <f t="array" ref="N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0">
        <f>IF(ISNUMBER(SEARCH("passenger",PROPERTIES[[#This Row],[CARGODEF]])),1,0)</f>
        <v>0</v>
      </c>
      <c r="P150" s="29">
        <v>155</v>
      </c>
      <c r="Q150">
        <v>1600</v>
      </c>
      <c r="R150">
        <v>89</v>
      </c>
      <c r="S150" s="26">
        <v>229.08</v>
      </c>
      <c r="T150" s="25">
        <f>IFERROR(PROPERTIES[[#This Row],[TE_STARTING_KN]]/(PROPERTIES[[#This Row],[WEIGHT]]*9.81),0)</f>
        <v>0.15065601262700995</v>
      </c>
      <c r="U150" s="25">
        <v>0.22</v>
      </c>
      <c r="V150" s="22">
        <f>ROUND(IF(IFERROR(PROPERTIES[[#This Row],[TE_COEFFICIENT_CALC]],0)=0,PROPERTIES[[#This Row],[TE_COEFFICIENT_MANUAL]],PROPERTIES[[#This Row],[TE_COEFFICIENT_CALC]]),3)</f>
        <v>0.151</v>
      </c>
      <c r="W150" s="10" cm="1">
        <f t="array" ref="W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50" s="32">
        <v>0</v>
      </c>
      <c r="Y150" s="8">
        <v>3</v>
      </c>
      <c r="Z150" t="s">
        <v>3514</v>
      </c>
      <c r="AA150" t="s">
        <v>873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8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9" t="b">
        <v>0</v>
      </c>
      <c r="AY150"/>
      <c r="AZ150"/>
      <c r="BA150"/>
    </row>
    <row r="151" spans="1:53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t="s">
        <v>1799</v>
      </c>
      <c r="F151" t="str">
        <f>_xlfn.XLOOKUP(PROPERTIES[[#This Row],[COUNTRY]],COUNTRIES[COUNTRY_DESCRIPTION],COUNTRIES[COUNTRY_LABEL],"")</f>
        <v>IL</v>
      </c>
      <c r="G151" t="str" cm="1">
        <f t="array" ref="G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1" t="s">
        <v>19</v>
      </c>
      <c r="I151">
        <v>0</v>
      </c>
      <c r="J151">
        <v>5</v>
      </c>
      <c r="K151">
        <v>8</v>
      </c>
      <c r="L151" t="str" cm="1">
        <f t="array" ref="L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1">
        <f>_xlfn.XLOOKUP("LOADINGSPEEDDEF_"&amp;PROPERTIES[[#This Row],[LOADINGSPEED]],LOADINGSPEEDDEF[TYPE],LOADINGSPEEDDEF[SPEED])</f>
        <v>20</v>
      </c>
      <c r="N151" cm="1">
        <f t="array" ref="N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1">
        <f>IF(ISNUMBER(SEARCH("passenger",PROPERTIES[[#This Row],[CARGODEF]])),1,0)</f>
        <v>0</v>
      </c>
      <c r="P151" s="29">
        <v>119</v>
      </c>
      <c r="Q151">
        <v>1050</v>
      </c>
      <c r="R151">
        <v>85</v>
      </c>
      <c r="S151" s="26">
        <v>108.9</v>
      </c>
      <c r="T151" s="25">
        <f>IFERROR(PROPERTIES[[#This Row],[TE_STARTING_KN]]/(PROPERTIES[[#This Row],[WEIGHT]]*9.81),0)</f>
        <v>9.3285020430190421E-2</v>
      </c>
      <c r="U151" s="25">
        <v>0.09</v>
      </c>
      <c r="V151" s="22">
        <f>ROUND(IF(IFERROR(PROPERTIES[[#This Row],[TE_COEFFICIENT_CALC]],0)=0,PROPERTIES[[#This Row],[TE_COEFFICIENT_MANUAL]],PROPERTIES[[#This Row],[TE_COEFFICIENT_CALC]]),3)</f>
        <v>9.2999999999999999E-2</v>
      </c>
      <c r="W151" s="10" cm="1">
        <f t="array" ref="W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51" s="32">
        <v>0</v>
      </c>
      <c r="Y151" s="8">
        <v>3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8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9" t="b">
        <v>0</v>
      </c>
      <c r="AY151"/>
      <c r="AZ151"/>
      <c r="BA151"/>
    </row>
    <row r="152" spans="1:53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t="s">
        <v>1806</v>
      </c>
      <c r="F152" t="str">
        <f>_xlfn.XLOOKUP(PROPERTIES[[#This Row],[COUNTRY]],COUNTRIES[COUNTRY_DESCRIPTION],COUNTRIES[COUNTRY_LABEL],"")</f>
        <v>IT</v>
      </c>
      <c r="G152" t="str" cm="1">
        <f t="array" ref="G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2" t="s">
        <v>19</v>
      </c>
      <c r="I152">
        <v>0</v>
      </c>
      <c r="J152">
        <v>6</v>
      </c>
      <c r="K152">
        <v>10</v>
      </c>
      <c r="L152" t="str" cm="1">
        <f t="array" ref="L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2">
        <f>_xlfn.XLOOKUP("LOADINGSPEEDDEF_"&amp;PROPERTIES[[#This Row],[LOADINGSPEED]],LOADINGSPEEDDEF[TYPE],LOADINGSPEEDDEF[SPEED])</f>
        <v>20</v>
      </c>
      <c r="N152" cm="1">
        <f t="array" ref="N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2">
        <f>IF(ISNUMBER(SEARCH("passenger",PROPERTIES[[#This Row],[CARGODEF]])),1,0)</f>
        <v>0</v>
      </c>
      <c r="P152" s="29">
        <v>128.80000000000001</v>
      </c>
      <c r="Q152">
        <v>1500</v>
      </c>
      <c r="R152">
        <v>70</v>
      </c>
      <c r="S152" s="26">
        <v>177.4</v>
      </c>
      <c r="T152" s="25">
        <f>IFERROR(PROPERTIES[[#This Row],[TE_STARTING_KN]]/(PROPERTIES[[#This Row],[WEIGHT]]*9.81),0)</f>
        <v>0.14040052931157834</v>
      </c>
      <c r="U152" s="25">
        <v>0.13</v>
      </c>
      <c r="V152" s="22">
        <f>ROUND(IF(IFERROR(PROPERTIES[[#This Row],[TE_COEFFICIENT_CALC]],0)=0,PROPERTIES[[#This Row],[TE_COEFFICIENT_MANUAL]],PROPERTIES[[#This Row],[TE_COEFFICIENT_CALC]]),3)</f>
        <v>0.14000000000000001</v>
      </c>
      <c r="W152" s="10" cm="1">
        <f t="array" ref="W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52" s="32">
        <v>0</v>
      </c>
      <c r="Y152" s="8">
        <v>4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8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9" t="b">
        <v>0</v>
      </c>
      <c r="AY152"/>
      <c r="AZ152"/>
      <c r="BA152"/>
    </row>
    <row r="153" spans="1:53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t="s">
        <v>1806</v>
      </c>
      <c r="F153" t="str">
        <f>_xlfn.XLOOKUP(PROPERTIES[[#This Row],[COUNTRY]],COUNTRIES[COUNTRY_DESCRIPTION],COUNTRIES[COUNTRY_LABEL],"")</f>
        <v>IT</v>
      </c>
      <c r="G153" t="str" cm="1">
        <f t="array" ref="G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3" t="s">
        <v>19</v>
      </c>
      <c r="I153">
        <v>0</v>
      </c>
      <c r="J153">
        <v>6</v>
      </c>
      <c r="K153">
        <v>10</v>
      </c>
      <c r="L153" t="str" cm="1">
        <f t="array" ref="L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3">
        <f>_xlfn.XLOOKUP("LOADINGSPEEDDEF_"&amp;PROPERTIES[[#This Row],[LOADINGSPEED]],LOADINGSPEEDDEF[TYPE],LOADINGSPEEDDEF[SPEED])</f>
        <v>20</v>
      </c>
      <c r="N153" cm="1">
        <f t="array" ref="N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3">
        <f>IF(ISNUMBER(SEARCH("passenger",PROPERTIES[[#This Row],[CARGODEF]])),1,0)</f>
        <v>0</v>
      </c>
      <c r="P153" s="29">
        <v>144</v>
      </c>
      <c r="Q153">
        <v>1750</v>
      </c>
      <c r="R153">
        <v>130</v>
      </c>
      <c r="S153" s="26">
        <v>145</v>
      </c>
      <c r="T153" s="25">
        <f>IFERROR(PROPERTIES[[#This Row],[TE_STARTING_KN]]/(PROPERTIES[[#This Row],[WEIGHT]]*9.81),0)</f>
        <v>0.10264469362328689</v>
      </c>
      <c r="U153" s="25">
        <v>0.1</v>
      </c>
      <c r="V153" s="22">
        <f>ROUND(IF(IFERROR(PROPERTIES[[#This Row],[TE_COEFFICIENT_CALC]],0)=0,PROPERTIES[[#This Row],[TE_COEFFICIENT_MANUAL]],PROPERTIES[[#This Row],[TE_COEFFICIENT_CALC]]),3)</f>
        <v>0.10299999999999999</v>
      </c>
      <c r="W153" s="10" cm="1">
        <f t="array" ref="W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3" s="32">
        <v>0</v>
      </c>
      <c r="Y153" s="8">
        <v>4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8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9" t="b">
        <v>0</v>
      </c>
      <c r="AY153"/>
      <c r="AZ153"/>
      <c r="BA153"/>
    </row>
    <row r="154" spans="1:53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t="s">
        <v>1785</v>
      </c>
      <c r="F154" t="str">
        <f>_xlfn.XLOOKUP(PROPERTIES[[#This Row],[COUNTRY]],COUNTRIES[COUNTRY_DESCRIPTION],COUNTRIES[COUNTRY_LABEL],"")</f>
        <v>GR</v>
      </c>
      <c r="G154" t="str" cm="1">
        <f t="array" ref="G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4" t="s">
        <v>19</v>
      </c>
      <c r="I154">
        <v>0</v>
      </c>
      <c r="J154">
        <v>7</v>
      </c>
      <c r="K154">
        <v>11</v>
      </c>
      <c r="L154" t="str" cm="1">
        <f t="array" ref="L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4">
        <f>_xlfn.XLOOKUP("LOADINGSPEEDDEF_"&amp;PROPERTIES[[#This Row],[LOADINGSPEED]],LOADINGSPEEDDEF[TYPE],LOADINGSPEEDDEF[SPEED])</f>
        <v>20</v>
      </c>
      <c r="N154" cm="1">
        <f t="array" ref="N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4">
        <f>IF(ISNUMBER(SEARCH("passenger",PROPERTIES[[#This Row],[CARGODEF]])),1,0)</f>
        <v>0</v>
      </c>
      <c r="P154" s="29">
        <v>138.5</v>
      </c>
      <c r="Q154">
        <v>1600</v>
      </c>
      <c r="R154">
        <v>75</v>
      </c>
      <c r="S154" s="26">
        <v>152.19999999999999</v>
      </c>
      <c r="T154" s="25">
        <f>IFERROR(PROPERTIES[[#This Row],[TE_STARTING_KN]]/(PROPERTIES[[#This Row],[WEIGHT]]*9.81),0)</f>
        <v>0.11202007823741336</v>
      </c>
      <c r="U154" s="25">
        <v>0.11</v>
      </c>
      <c r="V154" s="22">
        <f>ROUND(IF(IFERROR(PROPERTIES[[#This Row],[TE_COEFFICIENT_CALC]],0)=0,PROPERTIES[[#This Row],[TE_COEFFICIENT_MANUAL]],PROPERTIES[[#This Row],[TE_COEFFICIENT_CALC]]),3)</f>
        <v>0.112</v>
      </c>
      <c r="W154" s="10" cm="1">
        <f t="array" ref="W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4" s="32">
        <v>0</v>
      </c>
      <c r="Y154" s="8">
        <v>4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8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9" t="b">
        <v>0</v>
      </c>
      <c r="AY154"/>
      <c r="AZ154"/>
      <c r="BA154"/>
    </row>
    <row r="155" spans="1:53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t="s">
        <v>1703</v>
      </c>
      <c r="F155" t="str">
        <f>_xlfn.XLOOKUP(PROPERTIES[[#This Row],[COUNTRY]],COUNTRIES[COUNTRY_DESCRIPTION],COUNTRIES[COUNTRY_LABEL],"")</f>
        <v>AL</v>
      </c>
      <c r="G155" t="str" cm="1">
        <f t="array" ref="G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5" t="s">
        <v>19</v>
      </c>
      <c r="I155">
        <v>0</v>
      </c>
      <c r="J155">
        <v>5</v>
      </c>
      <c r="K155">
        <v>5</v>
      </c>
      <c r="L155" t="str" cm="1">
        <f t="array" ref="L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5">
        <f>_xlfn.XLOOKUP("LOADINGSPEEDDEF_"&amp;PROPERTIES[[#This Row],[LOADINGSPEED]],LOADINGSPEEDDEF[TYPE],LOADINGSPEEDDEF[SPEED])</f>
        <v>20</v>
      </c>
      <c r="N155" cm="1">
        <f t="array" ref="N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5">
        <f>IF(ISNUMBER(SEARCH("passenger",PROPERTIES[[#This Row],[CARGODEF]])),1,0)</f>
        <v>0</v>
      </c>
      <c r="P155" s="29">
        <v>123.5</v>
      </c>
      <c r="Q155">
        <v>1200</v>
      </c>
      <c r="R155">
        <v>80</v>
      </c>
      <c r="S155" s="26">
        <v>138</v>
      </c>
      <c r="T155" s="25">
        <f>IFERROR(PROPERTIES[[#This Row],[TE_STARTING_KN]]/(PROPERTIES[[#This Row],[WEIGHT]]*9.81),0)</f>
        <v>0.11390508734786861</v>
      </c>
      <c r="U155" s="25">
        <v>0.14000000000000001</v>
      </c>
      <c r="V155" s="22">
        <f>ROUND(IF(IFERROR(PROPERTIES[[#This Row],[TE_COEFFICIENT_CALC]],0)=0,PROPERTIES[[#This Row],[TE_COEFFICIENT_MANUAL]],PROPERTIES[[#This Row],[TE_COEFFICIENT_CALC]]),3)</f>
        <v>0.114</v>
      </c>
      <c r="W155" s="10" cm="1">
        <f t="array" ref="W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5" s="32">
        <v>0</v>
      </c>
      <c r="Y155" s="8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8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9" t="b">
        <v>0</v>
      </c>
      <c r="AY155"/>
      <c r="AZ155"/>
      <c r="BA155"/>
    </row>
    <row r="156" spans="1:53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t="s">
        <v>1765</v>
      </c>
      <c r="F156" t="str">
        <f>_xlfn.XLOOKUP(PROPERTIES[[#This Row],[COUNTRY]],COUNTRIES[COUNTRY_DESCRIPTION],COUNTRIES[COUNTRY_LABEL],"")</f>
        <v>ES</v>
      </c>
      <c r="G156" t="str" cm="1">
        <f t="array" ref="G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6" t="s">
        <v>19</v>
      </c>
      <c r="I156">
        <v>0</v>
      </c>
      <c r="J156">
        <v>8</v>
      </c>
      <c r="K156">
        <v>13</v>
      </c>
      <c r="L156" t="str" cm="1">
        <f t="array" ref="L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6">
        <f>_xlfn.XLOOKUP("LOADINGSPEEDDEF_"&amp;PROPERTIES[[#This Row],[LOADINGSPEED]],LOADINGSPEEDDEF[TYPE],LOADINGSPEEDDEF[SPEED])</f>
        <v>20</v>
      </c>
      <c r="N156" cm="1">
        <f t="array" ref="N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6">
        <f>IF(ISNUMBER(SEARCH("passenger",PROPERTIES[[#This Row],[CARGODEF]])),1,0)</f>
        <v>0</v>
      </c>
      <c r="P156" s="29">
        <v>213.5</v>
      </c>
      <c r="Q156">
        <v>3500</v>
      </c>
      <c r="R156">
        <f>ROUND(1.62*75,0)</f>
        <v>122</v>
      </c>
      <c r="S156" s="26">
        <v>0</v>
      </c>
      <c r="T156" s="25">
        <f>IFERROR(PROPERTIES[[#This Row],[TE_STARTING_KN]]/(PROPERTIES[[#This Row],[WEIGHT]]*9.81),0)</f>
        <v>0</v>
      </c>
      <c r="U156" s="25">
        <v>0.11</v>
      </c>
      <c r="V156" s="22">
        <f>ROUND(IF(IFERROR(PROPERTIES[[#This Row],[TE_COEFFICIENT_CALC]],0)=0,PROPERTIES[[#This Row],[TE_COEFFICIENT_MANUAL]],PROPERTIES[[#This Row],[TE_COEFFICIENT_CALC]]),3)</f>
        <v>0.11</v>
      </c>
      <c r="W156" s="10" cm="1">
        <f t="array" ref="W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6" s="32">
        <v>0</v>
      </c>
      <c r="Y156" s="8">
        <v>5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8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9" t="b">
        <v>0</v>
      </c>
      <c r="AY156"/>
      <c r="AZ156"/>
      <c r="BA156"/>
    </row>
    <row r="157" spans="1:53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t="s">
        <v>1753</v>
      </c>
      <c r="F157" t="str">
        <f>_xlfn.XLOOKUP(PROPERTIES[[#This Row],[COUNTRY]],COUNTRIES[COUNTRY_DESCRIPTION],COUNTRIES[COUNTRY_LABEL],"")</f>
        <v>CZ</v>
      </c>
      <c r="G157" t="str" cm="1">
        <f t="array" ref="G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7" t="s">
        <v>19</v>
      </c>
      <c r="I157">
        <v>0</v>
      </c>
      <c r="J157">
        <v>7</v>
      </c>
      <c r="K157">
        <v>10</v>
      </c>
      <c r="L157" t="str" cm="1">
        <f t="array" ref="L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7">
        <f>_xlfn.XLOOKUP("LOADINGSPEEDDEF_"&amp;PROPERTIES[[#This Row],[LOADINGSPEED]],LOADINGSPEEDDEF[TYPE],LOADINGSPEEDDEF[SPEED])</f>
        <v>20</v>
      </c>
      <c r="N157" cm="1">
        <f t="array" ref="N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7">
        <f>IF(ISNUMBER(SEARCH("passenger",PROPERTIES[[#This Row],[CARGODEF]])),1,0)</f>
        <v>0</v>
      </c>
      <c r="P157" s="29">
        <v>132</v>
      </c>
      <c r="Q157">
        <v>1400</v>
      </c>
      <c r="R157">
        <v>60</v>
      </c>
      <c r="S157" s="26">
        <v>195</v>
      </c>
      <c r="T157" s="25">
        <f>IFERROR(PROPERTIES[[#This Row],[TE_STARTING_KN]]/(PROPERTIES[[#This Row],[WEIGHT]]*9.81),0)</f>
        <v>0.15058845334074691</v>
      </c>
      <c r="U157" s="25">
        <v>0.31</v>
      </c>
      <c r="V157" s="22">
        <f>ROUND(IF(IFERROR(PROPERTIES[[#This Row],[TE_COEFFICIENT_CALC]],0)=0,PROPERTIES[[#This Row],[TE_COEFFICIENT_MANUAL]],PROPERTIES[[#This Row],[TE_COEFFICIENT_CALC]]),3)</f>
        <v>0.151</v>
      </c>
      <c r="W157" s="10" cm="1">
        <f t="array" ref="W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157" s="32">
        <v>0</v>
      </c>
      <c r="Y157" s="8">
        <v>3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8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9" t="b">
        <v>0</v>
      </c>
      <c r="AY157"/>
      <c r="AZ157"/>
      <c r="BA157"/>
    </row>
    <row r="158" spans="1:53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t="s">
        <v>1875</v>
      </c>
      <c r="F158" t="str">
        <f>_xlfn.XLOOKUP(PROPERTIES[[#This Row],[COUNTRY]],COUNTRIES[COUNTRY_DESCRIPTION],COUNTRIES[COUNTRY_LABEL],"")</f>
        <v>PL</v>
      </c>
      <c r="G158" t="str" cm="1">
        <f t="array" ref="G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8" t="s">
        <v>19</v>
      </c>
      <c r="I158">
        <v>0</v>
      </c>
      <c r="J158">
        <v>6</v>
      </c>
      <c r="K158">
        <v>9</v>
      </c>
      <c r="L158" t="str" cm="1">
        <f t="array" ref="L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8">
        <f>_xlfn.XLOOKUP("LOADINGSPEEDDEF_"&amp;PROPERTIES[[#This Row],[LOADINGSPEED]],LOADINGSPEEDDEF[TYPE],LOADINGSPEEDDEF[SPEED])</f>
        <v>20</v>
      </c>
      <c r="N158" cm="1">
        <f t="array" ref="N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8">
        <f>IF(ISNUMBER(SEARCH("passenger",PROPERTIES[[#This Row],[CARGODEF]])),1,0)</f>
        <v>0</v>
      </c>
      <c r="P158" s="29">
        <v>133</v>
      </c>
      <c r="Q158">
        <v>980</v>
      </c>
      <c r="R158">
        <v>100</v>
      </c>
      <c r="S158" s="26">
        <v>123</v>
      </c>
      <c r="T158" s="25">
        <f>IFERROR(PROPERTIES[[#This Row],[TE_STARTING_KN]]/(PROPERTIES[[#This Row],[WEIGHT]]*9.81),0)</f>
        <v>9.4272378193189399E-2</v>
      </c>
      <c r="U158" s="25">
        <v>0.06</v>
      </c>
      <c r="V158" s="22">
        <f>ROUND(IF(IFERROR(PROPERTIES[[#This Row],[TE_COEFFICIENT_CALC]],0)=0,PROPERTIES[[#This Row],[TE_COEFFICIENT_MANUAL]],PROPERTIES[[#This Row],[TE_COEFFICIENT_CALC]]),3)</f>
        <v>9.4E-2</v>
      </c>
      <c r="W158" s="10" cm="1">
        <f t="array" ref="W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8" s="32">
        <v>0</v>
      </c>
      <c r="Y158" s="8">
        <v>3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8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9" t="b">
        <v>0</v>
      </c>
      <c r="AY158"/>
      <c r="AZ158"/>
      <c r="BA158"/>
    </row>
    <row r="159" spans="1:53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t="s">
        <v>1794</v>
      </c>
      <c r="F159" t="str">
        <f>_xlfn.XLOOKUP(PROPERTIES[[#This Row],[COUNTRY]],COUNTRIES[COUNTRY_DESCRIPTION],COUNTRIES[COUNTRY_LABEL],"")</f>
        <v>HR</v>
      </c>
      <c r="G159" t="str" cm="1">
        <f t="array" ref="G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9" t="s">
        <v>19</v>
      </c>
      <c r="I159">
        <v>0</v>
      </c>
      <c r="J159">
        <v>7</v>
      </c>
      <c r="K159">
        <v>11</v>
      </c>
      <c r="L159" t="str" cm="1">
        <f t="array" ref="L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9">
        <f>_xlfn.XLOOKUP("LOADINGSPEEDDEF_"&amp;PROPERTIES[[#This Row],[LOADINGSPEED]],LOADINGSPEEDDEF[TYPE],LOADINGSPEEDDEF[SPEED])</f>
        <v>20</v>
      </c>
      <c r="N159" cm="1">
        <f t="array" ref="N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9">
        <f>IF(ISNUMBER(SEARCH("passenger",PROPERTIES[[#This Row],[CARGODEF]])),1,0)</f>
        <v>0</v>
      </c>
      <c r="P159" s="29">
        <v>145.19999999999999</v>
      </c>
      <c r="Q159">
        <v>1350</v>
      </c>
      <c r="R159">
        <v>90</v>
      </c>
      <c r="S159" s="26">
        <v>113.2</v>
      </c>
      <c r="T159" s="25">
        <f>IFERROR(PROPERTIES[[#This Row],[TE_STARTING_KN]]/(PROPERTIES[[#This Row],[WEIGHT]]*9.81),0)</f>
        <v>7.9471388895909323E-2</v>
      </c>
      <c r="U159" s="25">
        <v>0.13</v>
      </c>
      <c r="V159" s="22">
        <f>ROUND(IF(IFERROR(PROPERTIES[[#This Row],[TE_COEFFICIENT_CALC]],0)=0,PROPERTIES[[#This Row],[TE_COEFFICIENT_MANUAL]],PROPERTIES[[#This Row],[TE_COEFFICIENT_CALC]]),3)</f>
        <v>7.9000000000000001E-2</v>
      </c>
      <c r="W159" s="10" cm="1">
        <f t="array" ref="W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59" s="32">
        <v>0</v>
      </c>
      <c r="Y159" s="8">
        <v>4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8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9" t="b">
        <v>0</v>
      </c>
      <c r="AY159"/>
      <c r="AZ159"/>
      <c r="BA159"/>
    </row>
    <row r="160" spans="1:53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t="s">
        <v>1796</v>
      </c>
      <c r="F160" t="str">
        <f>_xlfn.XLOOKUP(PROPERTIES[[#This Row],[COUNTRY]],COUNTRIES[COUNTRY_DESCRIPTION],COUNTRIES[COUNTRY_LABEL],"")</f>
        <v>HU</v>
      </c>
      <c r="G160" t="str" cm="1">
        <f t="array" ref="G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0" t="s">
        <v>19</v>
      </c>
      <c r="I160">
        <v>0</v>
      </c>
      <c r="J160">
        <v>7</v>
      </c>
      <c r="K160">
        <v>7</v>
      </c>
      <c r="L160" t="str" cm="1">
        <f t="array" ref="L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0">
        <f>_xlfn.XLOOKUP("LOADINGSPEEDDEF_"&amp;PROPERTIES[[#This Row],[LOADINGSPEED]],LOADINGSPEEDDEF[TYPE],LOADINGSPEEDDEF[SPEED])</f>
        <v>20</v>
      </c>
      <c r="N160" cm="1">
        <f t="array" ref="N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0">
        <f>IF(ISNUMBER(SEARCH("passenger",PROPERTIES[[#This Row],[CARGODEF]])),1,0)</f>
        <v>0</v>
      </c>
      <c r="P160" s="29">
        <v>85</v>
      </c>
      <c r="Q160">
        <v>618</v>
      </c>
      <c r="R160">
        <v>120</v>
      </c>
      <c r="S160" s="26">
        <v>65</v>
      </c>
      <c r="T160" s="25">
        <f>IFERROR(PROPERTIES[[#This Row],[TE_STARTING_KN]]/(PROPERTIES[[#This Row],[WEIGHT]]*9.81),0)</f>
        <v>7.7951669964621939E-2</v>
      </c>
      <c r="U160" s="25">
        <v>0.08</v>
      </c>
      <c r="V160" s="22">
        <f>ROUND(IF(IFERROR(PROPERTIES[[#This Row],[TE_COEFFICIENT_CALC]],0)=0,PROPERTIES[[#This Row],[TE_COEFFICIENT_MANUAL]],PROPERTIES[[#This Row],[TE_COEFFICIENT_CALC]]),3)</f>
        <v>7.8E-2</v>
      </c>
      <c r="W160" s="10" cm="1">
        <f t="array" ref="W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0" s="32">
        <v>0</v>
      </c>
      <c r="Y160" s="8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8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9" t="b">
        <v>0</v>
      </c>
      <c r="AY160"/>
      <c r="AZ160"/>
      <c r="BA160"/>
    </row>
    <row r="161" spans="1:53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t="s">
        <v>1753</v>
      </c>
      <c r="F161" t="str">
        <f>_xlfn.XLOOKUP(PROPERTIES[[#This Row],[COUNTRY]],COUNTRIES[COUNTRY_DESCRIPTION],COUNTRIES[COUNTRY_LABEL],"")</f>
        <v>CZ</v>
      </c>
      <c r="G161" t="str" cm="1">
        <f t="array" ref="G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1" t="s">
        <v>19</v>
      </c>
      <c r="I161">
        <v>0</v>
      </c>
      <c r="J161">
        <v>5</v>
      </c>
      <c r="K161">
        <v>9</v>
      </c>
      <c r="L161" t="str" cm="1">
        <f t="array" ref="L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1">
        <f>_xlfn.XLOOKUP("LOADINGSPEEDDEF_"&amp;PROPERTIES[[#This Row],[LOADINGSPEED]],LOADINGSPEEDDEF[TYPE],LOADINGSPEEDDEF[SPEED])</f>
        <v>20</v>
      </c>
      <c r="N161" cm="1">
        <f t="array" ref="N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1">
        <f>IF(ISNUMBER(SEARCH("passenger",PROPERTIES[[#This Row],[CARGODEF]])),1,0)</f>
        <v>0</v>
      </c>
      <c r="P161" s="29">
        <v>143.69999999999999</v>
      </c>
      <c r="Q161">
        <v>1857</v>
      </c>
      <c r="R161">
        <v>80</v>
      </c>
      <c r="S161" s="26">
        <v>200</v>
      </c>
      <c r="T161" s="25">
        <f>IFERROR(PROPERTIES[[#This Row],[TE_STARTING_KN]]/(PROPERTIES[[#This Row],[WEIGHT]]*9.81),0)</f>
        <v>0.14187445954698066</v>
      </c>
      <c r="U161" s="25">
        <v>0.2</v>
      </c>
      <c r="V161" s="22">
        <f>ROUND(IF(IFERROR(PROPERTIES[[#This Row],[TE_COEFFICIENT_CALC]],0)=0,PROPERTIES[[#This Row],[TE_COEFFICIENT_MANUAL]],PROPERTIES[[#This Row],[TE_COEFFICIENT_CALC]]),3)</f>
        <v>0.14199999999999999</v>
      </c>
      <c r="W161" s="10" cm="1">
        <f t="array" ref="W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1" s="32">
        <v>0</v>
      </c>
      <c r="Y161" s="8">
        <v>3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8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9" t="b">
        <v>0</v>
      </c>
      <c r="AY161"/>
      <c r="AZ161"/>
      <c r="BA161"/>
    </row>
    <row r="162" spans="1:53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t="s">
        <v>1875</v>
      </c>
      <c r="F162" t="str">
        <f>_xlfn.XLOOKUP(PROPERTIES[[#This Row],[COUNTRY]],COUNTRIES[COUNTRY_DESCRIPTION],COUNTRIES[COUNTRY_LABEL],"")</f>
        <v>PL</v>
      </c>
      <c r="G162" t="str" cm="1">
        <f t="array" ref="G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2" t="s">
        <v>19</v>
      </c>
      <c r="I162">
        <v>0</v>
      </c>
      <c r="J162">
        <v>7</v>
      </c>
      <c r="K162">
        <v>11</v>
      </c>
      <c r="L162" t="str" cm="1">
        <f t="array" ref="L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2">
        <f>_xlfn.XLOOKUP("LOADINGSPEEDDEF_"&amp;PROPERTIES[[#This Row],[LOADINGSPEED]],LOADINGSPEEDDEF[TYPE],LOADINGSPEEDDEF[SPEED])</f>
        <v>20</v>
      </c>
      <c r="N162" cm="1">
        <f t="array" ref="N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2">
        <f>IF(ISNUMBER(SEARCH("passenger",PROPERTIES[[#This Row],[CARGODEF]])),1,0)</f>
        <v>0</v>
      </c>
      <c r="P162" s="29">
        <v>144.9</v>
      </c>
      <c r="Q162">
        <v>1290</v>
      </c>
      <c r="R162">
        <v>100</v>
      </c>
      <c r="S162" s="26">
        <v>125</v>
      </c>
      <c r="T162" s="25">
        <f>IFERROR(PROPERTIES[[#This Row],[TE_STARTING_KN]]/(PROPERTIES[[#This Row],[WEIGHT]]*9.81),0)</f>
        <v>8.7937197364135272E-2</v>
      </c>
      <c r="U162" s="25">
        <v>0.1</v>
      </c>
      <c r="V162" s="22">
        <f>ROUND(IF(IFERROR(PROPERTIES[[#This Row],[TE_COEFFICIENT_CALC]],0)=0,PROPERTIES[[#This Row],[TE_COEFFICIENT_MANUAL]],PROPERTIES[[#This Row],[TE_COEFFICIENT_CALC]]),3)</f>
        <v>8.7999999999999995E-2</v>
      </c>
      <c r="W162" s="10" cm="1">
        <f t="array" ref="W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62" s="32">
        <v>0</v>
      </c>
      <c r="Y162" s="8">
        <v>4</v>
      </c>
      <c r="Z162" t="s">
        <v>875</v>
      </c>
      <c r="AA162" t="s">
        <v>877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8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9" t="b">
        <v>0</v>
      </c>
      <c r="AY162"/>
      <c r="AZ162"/>
      <c r="BA162"/>
    </row>
    <row r="163" spans="1:53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t="s">
        <v>1709</v>
      </c>
      <c r="F163" t="str">
        <f>_xlfn.XLOOKUP(PROPERTIES[[#This Row],[COUNTRY]],COUNTRIES[COUNTRY_DESCRIPTION],COUNTRIES[COUNTRY_LABEL],"")</f>
        <v>AT</v>
      </c>
      <c r="G163" t="str" cm="1">
        <f t="array" ref="G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3" t="s">
        <v>19</v>
      </c>
      <c r="I163">
        <v>0</v>
      </c>
      <c r="J163">
        <v>7</v>
      </c>
      <c r="K163">
        <v>11</v>
      </c>
      <c r="L163" t="str" cm="1">
        <f t="array" ref="L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3">
        <f>_xlfn.XLOOKUP("LOADINGSPEEDDEF_"&amp;PROPERTIES[[#This Row],[LOADINGSPEED]],LOADINGSPEEDDEF[TYPE],LOADINGSPEEDDEF[SPEED])</f>
        <v>20</v>
      </c>
      <c r="N163" cm="1">
        <f t="array" ref="N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3">
        <f>IF(ISNUMBER(SEARCH("passenger",PROPERTIES[[#This Row],[CARGODEF]])),1,0)</f>
        <v>0</v>
      </c>
      <c r="P163" s="29">
        <v>138</v>
      </c>
      <c r="Q163">
        <v>1885</v>
      </c>
      <c r="R163">
        <v>100</v>
      </c>
      <c r="S163" s="26">
        <v>96.39</v>
      </c>
      <c r="T163" s="25">
        <f>IFERROR(PROPERTIES[[#This Row],[TE_STARTING_KN]]/(PROPERTIES[[#This Row],[WEIGHT]]*9.81),0)</f>
        <v>7.1200638213003598E-2</v>
      </c>
      <c r="U163" s="25">
        <v>0.17</v>
      </c>
      <c r="V163" s="22">
        <f>ROUND(IF(IFERROR(PROPERTIES[[#This Row],[TE_COEFFICIENT_CALC]],0)=0,PROPERTIES[[#This Row],[TE_COEFFICIENT_MANUAL]],PROPERTIES[[#This Row],[TE_COEFFICIENT_CALC]]),3)</f>
        <v>7.0999999999999994E-2</v>
      </c>
      <c r="W163" s="10" cm="1">
        <f t="array" ref="W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163" s="32">
        <v>0</v>
      </c>
      <c r="Y163" s="8">
        <v>4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8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9" t="b">
        <v>0</v>
      </c>
      <c r="AY163"/>
      <c r="AZ163"/>
      <c r="BA163"/>
    </row>
    <row r="164" spans="1:53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t="s">
        <v>1928</v>
      </c>
      <c r="F164" t="str">
        <f>_xlfn.XLOOKUP(PROPERTIES[[#This Row],[COUNTRY]],COUNTRIES[COUNTRY_DESCRIPTION],COUNTRIES[COUNTRY_LABEL],"")</f>
        <v>US</v>
      </c>
      <c r="G164" t="str" cm="1">
        <f t="array" ref="G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4" t="s">
        <v>19</v>
      </c>
      <c r="I164">
        <v>0</v>
      </c>
      <c r="J164">
        <v>8</v>
      </c>
      <c r="K164">
        <v>14</v>
      </c>
      <c r="L164" t="str" cm="1">
        <f t="array" ref="L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4">
        <f>_xlfn.XLOOKUP("LOADINGSPEEDDEF_"&amp;PROPERTIES[[#This Row],[LOADINGSPEED]],LOADINGSPEEDDEF[TYPE],LOADINGSPEEDDEF[SPEED])</f>
        <v>20</v>
      </c>
      <c r="N164" cm="1">
        <f t="array" ref="N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4">
        <f>IF(ISNUMBER(SEARCH("passenger",PROPERTIES[[#This Row],[CARGODEF]])),1,0)</f>
        <v>0</v>
      </c>
      <c r="P164" s="29">
        <v>390</v>
      </c>
      <c r="Q164">
        <v>5500</v>
      </c>
      <c r="R164">
        <v>177</v>
      </c>
      <c r="S164" s="26">
        <v>349.85</v>
      </c>
      <c r="T164" s="25">
        <f>IFERROR(PROPERTIES[[#This Row],[TE_STARTING_KN]]/(PROPERTIES[[#This Row],[WEIGHT]]*9.81),0)</f>
        <v>9.1442536396664845E-2</v>
      </c>
      <c r="U164" s="25">
        <v>0.09</v>
      </c>
      <c r="V164" s="22">
        <f>ROUND(IF(IFERROR(PROPERTIES[[#This Row],[TE_COEFFICIENT_CALC]],0)=0,PROPERTIES[[#This Row],[TE_COEFFICIENT_MANUAL]],PROPERTIES[[#This Row],[TE_COEFFICIENT_CALC]]),3)</f>
        <v>9.0999999999999998E-2</v>
      </c>
      <c r="W164" s="10" cm="1">
        <f t="array" ref="W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4" s="32">
        <v>0</v>
      </c>
      <c r="Y164" s="8">
        <v>6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8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9" t="b">
        <v>0</v>
      </c>
      <c r="AY164"/>
      <c r="AZ164"/>
      <c r="BA164"/>
    </row>
    <row r="165" spans="1:53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t="s">
        <v>1798</v>
      </c>
      <c r="F165" t="str">
        <f>_xlfn.XLOOKUP(PROPERTIES[[#This Row],[COUNTRY]],COUNTRIES[COUNTRY_DESCRIPTION],COUNTRIES[COUNTRY_LABEL],"")</f>
        <v>IE</v>
      </c>
      <c r="G165" t="str" cm="1">
        <f t="array" ref="G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5" t="s">
        <v>19</v>
      </c>
      <c r="I165">
        <v>0</v>
      </c>
      <c r="J165">
        <v>5</v>
      </c>
      <c r="K165">
        <v>8</v>
      </c>
      <c r="L165" t="str" cm="1">
        <f t="array" ref="L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5">
        <f>_xlfn.XLOOKUP("LOADINGSPEEDDEF_"&amp;PROPERTIES[[#This Row],[LOADINGSPEED]],LOADINGSPEEDDEF[TYPE],LOADINGSPEEDDEF[SPEED])</f>
        <v>20</v>
      </c>
      <c r="N165" cm="1">
        <f t="array" ref="N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5">
        <f>IF(ISNUMBER(SEARCH("passenger",PROPERTIES[[#This Row],[CARGODEF]])),1,0)</f>
        <v>0</v>
      </c>
      <c r="P165" s="29">
        <v>74.5</v>
      </c>
      <c r="Q165">
        <v>650</v>
      </c>
      <c r="R165">
        <v>60</v>
      </c>
      <c r="S165" s="26">
        <v>76.400000000000006</v>
      </c>
      <c r="T165" s="25">
        <f>IFERROR(PROPERTIES[[#This Row],[TE_STARTING_KN]]/(PROPERTIES[[#This Row],[WEIGHT]]*9.81),0)</f>
        <v>0.10453652963350643</v>
      </c>
      <c r="U165" s="25">
        <v>0.13</v>
      </c>
      <c r="V165" s="22">
        <f>ROUND(IF(IFERROR(PROPERTIES[[#This Row],[TE_COEFFICIENT_CALC]],0)=0,PROPERTIES[[#This Row],[TE_COEFFICIENT_MANUAL]],PROPERTIES[[#This Row],[TE_COEFFICIENT_CALC]]),3)</f>
        <v>0.105</v>
      </c>
      <c r="W165" s="10" cm="1">
        <f t="array" ref="W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165" s="32">
        <v>0</v>
      </c>
      <c r="Y165" s="8">
        <v>3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8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9" t="b">
        <v>0</v>
      </c>
      <c r="AY165"/>
      <c r="AZ165"/>
      <c r="BA165"/>
    </row>
    <row r="166" spans="1:53">
      <c r="A166" s="2" t="s">
        <v>186</v>
      </c>
      <c r="B166">
        <v>1914</v>
      </c>
      <c r="C166">
        <v>1942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t="s">
        <v>1928</v>
      </c>
      <c r="F166" t="str">
        <f>_xlfn.XLOOKUP(PROPERTIES[[#This Row],[COUNTRY]],COUNTRIES[COUNTRY_DESCRIPTION],COUNTRIES[COUNTRY_LABEL],"")</f>
        <v>US</v>
      </c>
      <c r="G166" t="str" cm="1">
        <f t="array" ref="G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6" t="s">
        <v>19</v>
      </c>
      <c r="I166">
        <v>0</v>
      </c>
      <c r="J166">
        <v>6</v>
      </c>
      <c r="K166">
        <v>10</v>
      </c>
      <c r="L166" t="str" cm="1">
        <f t="array" ref="L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6">
        <f>_xlfn.XLOOKUP("LOADINGSPEEDDEF_"&amp;PROPERTIES[[#This Row],[LOADINGSPEED]],LOADINGSPEEDDEF[TYPE],LOADINGSPEEDDEF[SPEED])</f>
        <v>20</v>
      </c>
      <c r="N166" cm="1">
        <f t="array" ref="N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6">
        <f>IF(ISNUMBER(SEARCH("passenger",PROPERTIES[[#This Row],[CARGODEF]])),1,0)</f>
        <v>0</v>
      </c>
      <c r="P166" s="29">
        <v>217</v>
      </c>
      <c r="Q166">
        <v>2990</v>
      </c>
      <c r="R166">
        <v>96</v>
      </c>
      <c r="S166" s="26">
        <v>243.42</v>
      </c>
      <c r="T166" s="25">
        <f>IFERROR(PROPERTIES[[#This Row],[TE_STARTING_KN]]/(PROPERTIES[[#This Row],[WEIGHT]]*9.81),0)</f>
        <v>0.11434772192392789</v>
      </c>
      <c r="U166" s="25">
        <v>0.11</v>
      </c>
      <c r="V166" s="22">
        <f>ROUND(IF(IFERROR(PROPERTIES[[#This Row],[TE_COEFFICIENT_CALC]],0)=0,PROPERTIES[[#This Row],[TE_COEFFICIENT_MANUAL]],PROPERTIES[[#This Row],[TE_COEFFICIENT_CALC]]),3)</f>
        <v>0.114</v>
      </c>
      <c r="W166" s="10" cm="1">
        <f t="array" ref="W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6" s="32">
        <v>0</v>
      </c>
      <c r="Y166" s="8">
        <v>4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8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9" t="b">
        <v>0</v>
      </c>
      <c r="AY166"/>
      <c r="AZ166"/>
      <c r="BA166"/>
    </row>
    <row r="167" spans="1:53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t="s">
        <v>1707</v>
      </c>
      <c r="F167" t="str">
        <f>_xlfn.XLOOKUP(PROPERTIES[[#This Row],[COUNTRY]],COUNTRIES[COUNTRY_DESCRIPTION],COUNTRIES[COUNTRY_LABEL],"")</f>
        <v>AR</v>
      </c>
      <c r="G167" t="str" cm="1">
        <f t="array" ref="G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7" t="s">
        <v>19</v>
      </c>
      <c r="I167">
        <v>0</v>
      </c>
      <c r="J167">
        <v>4</v>
      </c>
      <c r="K167">
        <v>4</v>
      </c>
      <c r="L167" t="str" cm="1">
        <f t="array" ref="L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7">
        <f>_xlfn.XLOOKUP("LOADINGSPEEDDEF_"&amp;PROPERTIES[[#This Row],[LOADINGSPEED]],LOADINGSPEEDDEF[TYPE],LOADINGSPEEDDEF[SPEED])</f>
        <v>20</v>
      </c>
      <c r="N167" cm="1">
        <f t="array" ref="N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7">
        <f>IF(ISNUMBER(SEARCH("passenger",PROPERTIES[[#This Row],[CARGODEF]])),1,0)</f>
        <v>0</v>
      </c>
      <c r="P167" s="29">
        <v>48</v>
      </c>
      <c r="Q167">
        <v>145</v>
      </c>
      <c r="R167">
        <v>45</v>
      </c>
      <c r="S167" s="26">
        <v>62</v>
      </c>
      <c r="T167" s="25">
        <f>IFERROR(PROPERTIES[[#This Row],[TE_STARTING_KN]]/(PROPERTIES[[#This Row],[WEIGHT]]*9.81),0)</f>
        <v>0.13166836561331974</v>
      </c>
      <c r="U167" s="25">
        <v>0.04</v>
      </c>
      <c r="V167" s="22">
        <f>ROUND(IF(IFERROR(PROPERTIES[[#This Row],[TE_COEFFICIENT_CALC]],0)=0,PROPERTIES[[#This Row],[TE_COEFFICIENT_MANUAL]],PROPERTIES[[#This Row],[TE_COEFFICIENT_CALC]]),3)</f>
        <v>0.13200000000000001</v>
      </c>
      <c r="W167" s="10" cm="1">
        <f t="array" ref="W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7" s="32">
        <v>0</v>
      </c>
      <c r="Y167" s="8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8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9" t="b">
        <v>0</v>
      </c>
      <c r="AY167"/>
      <c r="AZ167"/>
      <c r="BA167"/>
    </row>
    <row r="168" spans="1:53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t="s">
        <v>1710</v>
      </c>
      <c r="F168" t="str">
        <f>_xlfn.XLOOKUP(PROPERTIES[[#This Row],[COUNTRY]],COUNTRIES[COUNTRY_DESCRIPTION],COUNTRIES[COUNTRY_LABEL],"")</f>
        <v>AU</v>
      </c>
      <c r="G168" t="str" cm="1">
        <f t="array" ref="G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8" t="s">
        <v>19</v>
      </c>
      <c r="I168">
        <v>0</v>
      </c>
      <c r="J168">
        <v>6</v>
      </c>
      <c r="K168">
        <v>10</v>
      </c>
      <c r="L168" t="str" cm="1">
        <f t="array" ref="L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8">
        <f>_xlfn.XLOOKUP("LOADINGSPEEDDEF_"&amp;PROPERTIES[[#This Row],[LOADINGSPEED]],LOADINGSPEEDDEF[TYPE],LOADINGSPEEDDEF[SPEED])</f>
        <v>20</v>
      </c>
      <c r="N168" cm="1">
        <f t="array" ref="N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8">
        <f>IF(ISNUMBER(SEARCH("passenger",PROPERTIES[[#This Row],[CARGODEF]])),1,0)</f>
        <v>0</v>
      </c>
      <c r="P168" s="29">
        <v>126</v>
      </c>
      <c r="Q168">
        <v>1400</v>
      </c>
      <c r="R168">
        <v>80</v>
      </c>
      <c r="S168" s="26">
        <v>129.80000000000001</v>
      </c>
      <c r="T168" s="25">
        <f>IFERROR(PROPERTIES[[#This Row],[TE_STARTING_KN]]/(PROPERTIES[[#This Row],[WEIGHT]]*9.81),0)</f>
        <v>0.10501108360435576</v>
      </c>
      <c r="U168" s="25">
        <v>0.1</v>
      </c>
      <c r="V168" s="22">
        <f>ROUND(IF(IFERROR(PROPERTIES[[#This Row],[TE_COEFFICIENT_CALC]],0)=0,PROPERTIES[[#This Row],[TE_COEFFICIENT_MANUAL]],PROPERTIES[[#This Row],[TE_COEFFICIENT_CALC]]),3)</f>
        <v>0.105</v>
      </c>
      <c r="W168" s="10" cm="1">
        <f t="array" ref="W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168" s="32">
        <v>0</v>
      </c>
      <c r="Y168" s="8">
        <v>4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8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9" t="b">
        <v>0</v>
      </c>
      <c r="AY168"/>
      <c r="AZ168"/>
      <c r="BA168"/>
    </row>
    <row r="169" spans="1:53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t="s">
        <v>1717</v>
      </c>
      <c r="F169" t="str">
        <f>_xlfn.XLOOKUP(PROPERTIES[[#This Row],[COUNTRY]],COUNTRIES[COUNTRY_DESCRIPTION],COUNTRIES[COUNTRY_LABEL],"")</f>
        <v>BE</v>
      </c>
      <c r="G169" t="str" cm="1">
        <f t="array" ref="G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9" t="s">
        <v>19</v>
      </c>
      <c r="I169">
        <v>0</v>
      </c>
      <c r="J169">
        <v>7</v>
      </c>
      <c r="K169">
        <v>11</v>
      </c>
      <c r="L169" t="str" cm="1">
        <f t="array" ref="L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9">
        <f>_xlfn.XLOOKUP("LOADINGSPEEDDEF_"&amp;PROPERTIES[[#This Row],[LOADINGSPEED]],LOADINGSPEEDDEF[TYPE],LOADINGSPEEDDEF[SPEED])</f>
        <v>20</v>
      </c>
      <c r="N169" cm="1">
        <f t="array" ref="N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9">
        <f>IF(ISNUMBER(SEARCH("passenger",PROPERTIES[[#This Row],[CARGODEF]])),1,0)</f>
        <v>0</v>
      </c>
      <c r="P169" s="29">
        <v>127</v>
      </c>
      <c r="Q169">
        <v>1970</v>
      </c>
      <c r="R169">
        <v>96</v>
      </c>
      <c r="S169" s="26">
        <v>138</v>
      </c>
      <c r="T169" s="25">
        <f>IFERROR(PROPERTIES[[#This Row],[TE_STARTING_KN]]/(PROPERTIES[[#This Row],[WEIGHT]]*9.81),0)</f>
        <v>0.11076597076741553</v>
      </c>
      <c r="U169" s="25">
        <v>0.15</v>
      </c>
      <c r="V169" s="22">
        <f>ROUND(IF(IFERROR(PROPERTIES[[#This Row],[TE_COEFFICIENT_CALC]],0)=0,PROPERTIES[[#This Row],[TE_COEFFICIENT_MANUAL]],PROPERTIES[[#This Row],[TE_COEFFICIENT_CALC]]),3)</f>
        <v>0.111</v>
      </c>
      <c r="W169" s="10" cm="1">
        <f t="array" ref="W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9" s="32">
        <v>0</v>
      </c>
      <c r="Y169" s="8">
        <v>4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8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9" t="b">
        <v>0</v>
      </c>
      <c r="AY169"/>
      <c r="AZ169"/>
      <c r="BA169"/>
    </row>
    <row r="170" spans="1:53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t="s">
        <v>1743</v>
      </c>
      <c r="F170" t="str">
        <f>_xlfn.XLOOKUP(PROPERTIES[[#This Row],[COUNTRY]],COUNTRIES[COUNTRY_DESCRIPTION],COUNTRIES[COUNTRY_LABEL],"")</f>
        <v>CL</v>
      </c>
      <c r="G170" t="str" cm="1">
        <f t="array" ref="G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0" t="s">
        <v>19</v>
      </c>
      <c r="I170">
        <v>0</v>
      </c>
      <c r="J170">
        <v>7</v>
      </c>
      <c r="K170">
        <v>11</v>
      </c>
      <c r="L170" t="str" cm="1">
        <f t="array" ref="L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0">
        <f>_xlfn.XLOOKUP("LOADINGSPEEDDEF_"&amp;PROPERTIES[[#This Row],[LOADINGSPEED]],LOADINGSPEEDDEF[TYPE],LOADINGSPEEDDEF[SPEED])</f>
        <v>20</v>
      </c>
      <c r="N170" cm="1">
        <f t="array" ref="N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0">
        <f>IF(ISNUMBER(SEARCH("passenger",PROPERTIES[[#This Row],[CARGODEF]])),1,0)</f>
        <v>0</v>
      </c>
      <c r="P170" s="29">
        <v>146</v>
      </c>
      <c r="Q170">
        <v>1457</v>
      </c>
      <c r="R170">
        <v>85</v>
      </c>
      <c r="S170" s="26">
        <v>151</v>
      </c>
      <c r="T170" s="25">
        <f>IFERROR(PROPERTIES[[#This Row],[TE_STARTING_KN]]/(PROPERTIES[[#This Row],[WEIGHT]]*9.81),0)</f>
        <v>0.10542778545794758</v>
      </c>
      <c r="U170" s="25">
        <v>0.1</v>
      </c>
      <c r="V170" s="22">
        <f>ROUND(IF(IFERROR(PROPERTIES[[#This Row],[TE_COEFFICIENT_CALC]],0)=0,PROPERTIES[[#This Row],[TE_COEFFICIENT_MANUAL]],PROPERTIES[[#This Row],[TE_COEFFICIENT_CALC]]),3)</f>
        <v>0.105</v>
      </c>
      <c r="W170" s="10" cm="1">
        <f t="array" ref="W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70" s="32">
        <v>0</v>
      </c>
      <c r="Y170" s="8">
        <v>4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8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9" t="b">
        <v>1</v>
      </c>
      <c r="AY170"/>
      <c r="AZ170"/>
      <c r="BA170"/>
    </row>
    <row r="171" spans="1:53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t="s">
        <v>1745</v>
      </c>
      <c r="F171" t="str">
        <f>_xlfn.XLOOKUP(PROPERTIES[[#This Row],[COUNTRY]],COUNTRIES[COUNTRY_DESCRIPTION],COUNTRIES[COUNTRY_LABEL],"")</f>
        <v>CN</v>
      </c>
      <c r="G171" t="str" cm="1">
        <f t="array" ref="G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1" t="s">
        <v>19</v>
      </c>
      <c r="I171">
        <v>0</v>
      </c>
      <c r="J171">
        <v>8</v>
      </c>
      <c r="K171">
        <v>14</v>
      </c>
      <c r="L171" t="str" cm="1">
        <f t="array" ref="L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1">
        <f>_xlfn.XLOOKUP("LOADINGSPEEDDEF_"&amp;PROPERTIES[[#This Row],[LOADINGSPEED]],LOADINGSPEEDDEF[TYPE],LOADINGSPEEDDEF[SPEED])</f>
        <v>20</v>
      </c>
      <c r="N171" cm="1">
        <f t="array" ref="N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1">
        <f>IF(ISNUMBER(SEARCH("passenger",PROPERTIES[[#This Row],[CARGODEF]])),1,0)</f>
        <v>0</v>
      </c>
      <c r="P171" s="29">
        <v>203.2</v>
      </c>
      <c r="Q171">
        <v>2980</v>
      </c>
      <c r="R171">
        <v>80</v>
      </c>
      <c r="S171" s="26">
        <v>281.75</v>
      </c>
      <c r="T171" s="25">
        <f>IFERROR(PROPERTIES[[#This Row],[TE_STARTING_KN]]/(PROPERTIES[[#This Row],[WEIGHT]]*9.81),0)</f>
        <v>0.1413419939480042</v>
      </c>
      <c r="U171" s="25">
        <v>0.21</v>
      </c>
      <c r="V171" s="22">
        <f>ROUND(IF(IFERROR(PROPERTIES[[#This Row],[TE_COEFFICIENT_CALC]],0)=0,PROPERTIES[[#This Row],[TE_COEFFICIENT_MANUAL]],PROPERTIES[[#This Row],[TE_COEFFICIENT_CALC]]),3)</f>
        <v>0.14099999999999999</v>
      </c>
      <c r="W171" s="10" cm="1">
        <f t="array" ref="W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71" s="32">
        <v>0</v>
      </c>
      <c r="Y171" s="8">
        <v>6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8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9" t="b">
        <v>0</v>
      </c>
      <c r="AY171"/>
      <c r="AZ171"/>
      <c r="BA171"/>
    </row>
    <row r="172" spans="1:53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t="s">
        <v>1754</v>
      </c>
      <c r="F172" t="str">
        <f>_xlfn.XLOOKUP(PROPERTIES[[#This Row],[COUNTRY]],COUNTRIES[COUNTRY_DESCRIPTION],COUNTRIES[COUNTRY_LABEL],"")</f>
        <v>DE</v>
      </c>
      <c r="G172" t="str" cm="1">
        <f t="array" ref="G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2" t="s">
        <v>19</v>
      </c>
      <c r="I172">
        <v>0</v>
      </c>
      <c r="J172">
        <v>4</v>
      </c>
      <c r="K172">
        <v>4</v>
      </c>
      <c r="L172" t="str" cm="1">
        <f t="array" ref="L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2">
        <f>_xlfn.XLOOKUP("LOADINGSPEEDDEF_"&amp;PROPERTIES[[#This Row],[LOADINGSPEED]],LOADINGSPEEDDEF[TYPE],LOADINGSPEEDDEF[SPEED])</f>
        <v>20</v>
      </c>
      <c r="N172" cm="1">
        <f t="array" ref="N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2">
        <f>IF(ISNUMBER(SEARCH("passenger",PROPERTIES[[#This Row],[CARGODEF]])),1,0)</f>
        <v>0</v>
      </c>
      <c r="P172" s="29">
        <v>15</v>
      </c>
      <c r="Q172">
        <v>60</v>
      </c>
      <c r="R172">
        <v>30</v>
      </c>
      <c r="S172" s="26">
        <v>30</v>
      </c>
      <c r="T172" s="25">
        <f>IFERROR(PROPERTIES[[#This Row],[TE_STARTING_KN]]/(PROPERTIES[[#This Row],[WEIGHT]]*9.81),0)</f>
        <v>0.2038735983690112</v>
      </c>
      <c r="U172" s="25">
        <v>0.39</v>
      </c>
      <c r="V172" s="22">
        <f>ROUND(IF(IFERROR(PROPERTIES[[#This Row],[TE_COEFFICIENT_CALC]],0)=0,PROPERTIES[[#This Row],[TE_COEFFICIENT_MANUAL]],PROPERTIES[[#This Row],[TE_COEFFICIENT_CALC]]),3)</f>
        <v>0.20399999999999999</v>
      </c>
      <c r="W172" s="10" cm="1">
        <f t="array" ref="W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2" s="32">
        <v>0</v>
      </c>
      <c r="Y172" s="8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8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9" t="b">
        <v>0</v>
      </c>
      <c r="AY172"/>
      <c r="AZ172"/>
      <c r="BA172"/>
    </row>
    <row r="173" spans="1:53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t="s">
        <v>1928</v>
      </c>
      <c r="F173" t="str">
        <f>_xlfn.XLOOKUP(PROPERTIES[[#This Row],[COUNTRY]],COUNTRIES[COUNTRY_DESCRIPTION],COUNTRIES[COUNTRY_LABEL],"")</f>
        <v>US</v>
      </c>
      <c r="G173" t="str" cm="1">
        <f t="array" ref="G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3" t="s">
        <v>19</v>
      </c>
      <c r="I173">
        <v>0</v>
      </c>
      <c r="J173">
        <v>4</v>
      </c>
      <c r="K173">
        <v>4</v>
      </c>
      <c r="L173" t="str" cm="1">
        <f t="array" ref="L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3">
        <f>_xlfn.XLOOKUP("LOADINGSPEEDDEF_"&amp;PROPERTIES[[#This Row],[LOADINGSPEED]],LOADINGSPEEDDEF[TYPE],LOADINGSPEEDDEF[SPEED])</f>
        <v>20</v>
      </c>
      <c r="N173" cm="1">
        <f t="array" ref="N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3">
        <f>IF(ISNUMBER(SEARCH("passenger",PROPERTIES[[#This Row],[CARGODEF]])),1,0)</f>
        <v>0</v>
      </c>
      <c r="P173" s="29">
        <v>90.7</v>
      </c>
      <c r="Q173">
        <v>600</v>
      </c>
      <c r="R173">
        <v>55</v>
      </c>
      <c r="S173" s="26">
        <v>250</v>
      </c>
      <c r="T173" s="25">
        <f>IFERROR(PROPERTIES[[#This Row],[TE_STARTING_KN]]/(PROPERTIES[[#This Row],[WEIGHT]]*9.81),0)</f>
        <v>0.28097243435641017</v>
      </c>
      <c r="U173" s="25">
        <v>0.11</v>
      </c>
      <c r="V173" s="22">
        <f>ROUND(IF(IFERROR(PROPERTIES[[#This Row],[TE_COEFFICIENT_CALC]],0)=0,PROPERTIES[[#This Row],[TE_COEFFICIENT_MANUAL]],PROPERTIES[[#This Row],[TE_COEFFICIENT_CALC]]),3)</f>
        <v>0.28100000000000003</v>
      </c>
      <c r="W173" s="10" cm="1">
        <f t="array" ref="W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3" s="32">
        <v>0</v>
      </c>
      <c r="Y173" s="8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8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9" t="b">
        <v>0</v>
      </c>
      <c r="AY173"/>
      <c r="AZ173"/>
      <c r="BA173"/>
    </row>
    <row r="174" spans="1:53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t="s">
        <v>1862</v>
      </c>
      <c r="F174" t="str">
        <f>_xlfn.XLOOKUP(PROPERTIES[[#This Row],[COUNTRY]],COUNTRIES[COUNTRY_DESCRIPTION],COUNTRIES[COUNTRY_LABEL],"")</f>
        <v>NL</v>
      </c>
      <c r="G174" t="str" cm="1">
        <f t="array" ref="G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4" t="s">
        <v>19</v>
      </c>
      <c r="I174">
        <v>0</v>
      </c>
      <c r="J174">
        <v>4</v>
      </c>
      <c r="K174">
        <v>4</v>
      </c>
      <c r="L174" t="str" cm="1">
        <f t="array" ref="L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4">
        <f>_xlfn.XLOOKUP("LOADINGSPEEDDEF_"&amp;PROPERTIES[[#This Row],[LOADINGSPEED]],LOADINGSPEEDDEF[TYPE],LOADINGSPEEDDEF[SPEED])</f>
        <v>20</v>
      </c>
      <c r="N174" cm="1">
        <f t="array" ref="N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4">
        <f>IF(ISNUMBER(SEARCH("passenger",PROPERTIES[[#This Row],[CARGODEF]])),1,0)</f>
        <v>0</v>
      </c>
      <c r="P174" s="29">
        <v>21</v>
      </c>
      <c r="Q174">
        <v>72</v>
      </c>
      <c r="R174">
        <v>60</v>
      </c>
      <c r="S174" s="26">
        <v>45</v>
      </c>
      <c r="T174" s="25">
        <f>IFERROR(PROPERTIES[[#This Row],[TE_STARTING_KN]]/(PROPERTIES[[#This Row],[WEIGHT]]*9.81),0)</f>
        <v>0.218435998252512</v>
      </c>
      <c r="U174" s="25">
        <v>0.19</v>
      </c>
      <c r="V174" s="22">
        <f>ROUND(IF(IFERROR(PROPERTIES[[#This Row],[TE_COEFFICIENT_CALC]],0)=0,PROPERTIES[[#This Row],[TE_COEFFICIENT_MANUAL]],PROPERTIES[[#This Row],[TE_COEFFICIENT_CALC]]),3)</f>
        <v>0.218</v>
      </c>
      <c r="W174" s="10" cm="1">
        <f t="array" ref="W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X174" s="32">
        <v>0</v>
      </c>
      <c r="Y174" s="8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8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9" t="b">
        <v>0</v>
      </c>
      <c r="AY174"/>
      <c r="AZ174"/>
      <c r="BA174"/>
    </row>
    <row r="175" spans="1:53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t="s">
        <v>1754</v>
      </c>
      <c r="F175" t="str">
        <f>_xlfn.XLOOKUP(PROPERTIES[[#This Row],[COUNTRY]],COUNTRIES[COUNTRY_DESCRIPTION],COUNTRIES[COUNTRY_LABEL],"")</f>
        <v>DE</v>
      </c>
      <c r="G175" t="str" cm="1">
        <f t="array" ref="G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5" t="s">
        <v>19</v>
      </c>
      <c r="I175">
        <v>0</v>
      </c>
      <c r="J175">
        <v>5</v>
      </c>
      <c r="K175">
        <v>5</v>
      </c>
      <c r="L175" t="str" cm="1">
        <f t="array" ref="L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5">
        <f>_xlfn.XLOOKUP("LOADINGSPEEDDEF_"&amp;PROPERTIES[[#This Row],[LOADINGSPEED]],LOADINGSPEEDDEF[TYPE],LOADINGSPEEDDEF[SPEED])</f>
        <v>20</v>
      </c>
      <c r="N175" cm="1">
        <f t="array" ref="N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5">
        <f>IF(ISNUMBER(SEARCH("passenger",PROPERTIES[[#This Row],[CARGODEF]])),1,0)</f>
        <v>0</v>
      </c>
      <c r="P175" s="29">
        <v>26</v>
      </c>
      <c r="Q175">
        <v>200</v>
      </c>
      <c r="R175">
        <v>55</v>
      </c>
      <c r="S175" s="26">
        <v>68</v>
      </c>
      <c r="T175" s="25">
        <f>IFERROR(PROPERTIES[[#This Row],[TE_STARTING_KN]]/(PROPERTIES[[#This Row],[WEIGHT]]*9.81),0)</f>
        <v>0.26660393632870699</v>
      </c>
      <c r="U175" s="25">
        <v>0.31</v>
      </c>
      <c r="V175" s="22">
        <f>ROUND(IF(IFERROR(PROPERTIES[[#This Row],[TE_COEFFICIENT_CALC]],0)=0,PROPERTIES[[#This Row],[TE_COEFFICIENT_MANUAL]],PROPERTIES[[#This Row],[TE_COEFFICIENT_CALC]]),3)</f>
        <v>0.26700000000000002</v>
      </c>
      <c r="W175" s="10" cm="1">
        <f t="array" ref="W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75" s="32">
        <v>0</v>
      </c>
      <c r="Y175" s="8">
        <v>0</v>
      </c>
      <c r="Z175" t="s">
        <v>869</v>
      </c>
      <c r="AA175" t="s">
        <v>875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8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9" t="b">
        <v>0</v>
      </c>
      <c r="AY175"/>
      <c r="AZ175"/>
      <c r="BA175"/>
    </row>
    <row r="176" spans="1:53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t="s">
        <v>1740</v>
      </c>
      <c r="F176" t="str">
        <f>_xlfn.XLOOKUP(PROPERTIES[[#This Row],[COUNTRY]],COUNTRIES[COUNTRY_DESCRIPTION],COUNTRIES[COUNTRY_LABEL],"")</f>
        <v>CH</v>
      </c>
      <c r="G176" t="str" cm="1">
        <f t="array" ref="G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6" t="s">
        <v>19</v>
      </c>
      <c r="I176">
        <v>0</v>
      </c>
      <c r="J176">
        <v>8</v>
      </c>
      <c r="K176">
        <v>8</v>
      </c>
      <c r="L176" t="str" cm="1">
        <f t="array" ref="L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6">
        <f>_xlfn.XLOOKUP("LOADINGSPEEDDEF_"&amp;PROPERTIES[[#This Row],[LOADINGSPEED]],LOADINGSPEEDDEF[TYPE],LOADINGSPEEDDEF[SPEED])</f>
        <v>20</v>
      </c>
      <c r="N176" cm="1">
        <f t="array" ref="N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6">
        <f>IF(ISNUMBER(SEARCH("passenger",PROPERTIES[[#This Row],[CARGODEF]])),1,0)</f>
        <v>0</v>
      </c>
      <c r="P176" s="29">
        <v>92</v>
      </c>
      <c r="Q176">
        <v>2170</v>
      </c>
      <c r="R176">
        <v>110</v>
      </c>
      <c r="S176" s="26">
        <v>127</v>
      </c>
      <c r="T176" s="25">
        <f>IFERROR(PROPERTIES[[#This Row],[TE_STARTING_KN]]/(PROPERTIES[[#This Row],[WEIGHT]]*9.81),0)</f>
        <v>0.14071710322208925</v>
      </c>
      <c r="U176" s="25">
        <v>0.14000000000000001</v>
      </c>
      <c r="V176" s="22">
        <f>ROUND(IF(IFERROR(PROPERTIES[[#This Row],[TE_COEFFICIENT_CALC]],0)=0,PROPERTIES[[#This Row],[TE_COEFFICIENT_MANUAL]],PROPERTIES[[#This Row],[TE_COEFFICIENT_CALC]]),3)</f>
        <v>0.14099999999999999</v>
      </c>
      <c r="W176" s="10" cm="1">
        <f t="array" ref="W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6" s="32">
        <v>0</v>
      </c>
      <c r="Y176" s="8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8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1</v>
      </c>
      <c r="AH176" s="9" t="b">
        <v>0</v>
      </c>
      <c r="AY176"/>
      <c r="AZ176"/>
      <c r="BA176"/>
    </row>
    <row r="177" spans="1:53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t="s">
        <v>1710</v>
      </c>
      <c r="F177" t="str">
        <f>_xlfn.XLOOKUP(PROPERTIES[[#This Row],[COUNTRY]],COUNTRIES[COUNTRY_DESCRIPTION],COUNTRIES[COUNTRY_LABEL],"")</f>
        <v>AU</v>
      </c>
      <c r="G177" t="str" cm="1">
        <f t="array" ref="G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7" t="s">
        <v>19</v>
      </c>
      <c r="I177">
        <v>0</v>
      </c>
      <c r="J177">
        <v>5</v>
      </c>
      <c r="K177">
        <v>5</v>
      </c>
      <c r="L177" t="str" cm="1">
        <f t="array" ref="L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7">
        <f>_xlfn.XLOOKUP("LOADINGSPEEDDEF_"&amp;PROPERTIES[[#This Row],[LOADINGSPEED]],LOADINGSPEEDDEF[TYPE],LOADINGSPEEDDEF[SPEED])</f>
        <v>20</v>
      </c>
      <c r="N177" cm="1">
        <f t="array" ref="N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7">
        <f>IF(ISNUMBER(SEARCH("passenger",PROPERTIES[[#This Row],[CARGODEF]])),1,0)</f>
        <v>0</v>
      </c>
      <c r="P177" s="29">
        <v>40</v>
      </c>
      <c r="Q177">
        <v>380</v>
      </c>
      <c r="R177">
        <v>56</v>
      </c>
      <c r="S177" s="26">
        <v>57.83</v>
      </c>
      <c r="T177" s="25">
        <f>IFERROR(PROPERTIES[[#This Row],[TE_STARTING_KN]]/(PROPERTIES[[#This Row],[WEIGHT]]*9.81),0)</f>
        <v>0.14737512742099895</v>
      </c>
      <c r="U177" s="25">
        <v>0.15</v>
      </c>
      <c r="V177" s="22">
        <f>ROUND(IF(IFERROR(PROPERTIES[[#This Row],[TE_COEFFICIENT_CALC]],0)=0,PROPERTIES[[#This Row],[TE_COEFFICIENT_MANUAL]],PROPERTIES[[#This Row],[TE_COEFFICIENT_CALC]]),3)</f>
        <v>0.14699999999999999</v>
      </c>
      <c r="W177" s="10" cm="1">
        <f t="array" ref="W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77" s="32">
        <v>0</v>
      </c>
      <c r="Y177" s="8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8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9" t="b">
        <v>0</v>
      </c>
      <c r="AY177"/>
      <c r="AZ177"/>
      <c r="BA177"/>
    </row>
    <row r="178" spans="1:53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t="s">
        <v>1928</v>
      </c>
      <c r="F178" t="str">
        <f>_xlfn.XLOOKUP(PROPERTIES[[#This Row],[COUNTRY]],COUNTRIES[COUNTRY_DESCRIPTION],COUNTRIES[COUNTRY_LABEL],"")</f>
        <v>US</v>
      </c>
      <c r="G178" t="str" cm="1">
        <f t="array" ref="G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8" t="s">
        <v>19</v>
      </c>
      <c r="I178">
        <v>0</v>
      </c>
      <c r="J178">
        <v>6</v>
      </c>
      <c r="K178">
        <v>6</v>
      </c>
      <c r="L178" t="str" cm="1">
        <f t="array" ref="L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8">
        <f>_xlfn.XLOOKUP("LOADINGSPEEDDEF_"&amp;PROPERTIES[[#This Row],[LOADINGSPEED]],LOADINGSPEEDDEF[TYPE],LOADINGSPEEDDEF[SPEED])</f>
        <v>20</v>
      </c>
      <c r="N178" cm="1">
        <f t="array" ref="N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8">
        <f>IF(ISNUMBER(SEARCH("passenger",PROPERTIES[[#This Row],[CARGODEF]])),1,0)</f>
        <v>0</v>
      </c>
      <c r="P178" s="29">
        <v>104</v>
      </c>
      <c r="Q178">
        <v>1000</v>
      </c>
      <c r="R178">
        <v>96</v>
      </c>
      <c r="S178" s="26">
        <v>261</v>
      </c>
      <c r="T178" s="25">
        <f>IFERROR(PROPERTIES[[#This Row],[TE_STARTING_KN]]/(PROPERTIES[[#This Row],[WEIGHT]]*9.81),0)</f>
        <v>0.25582215949188425</v>
      </c>
      <c r="U178" s="25">
        <v>0.15</v>
      </c>
      <c r="V178" s="22">
        <f>ROUND(IF(IFERROR(PROPERTIES[[#This Row],[TE_COEFFICIENT_CALC]],0)=0,PROPERTIES[[#This Row],[TE_COEFFICIENT_MANUAL]],PROPERTIES[[#This Row],[TE_COEFFICIENT_CALC]]),3)</f>
        <v>0.25600000000000001</v>
      </c>
      <c r="W178" s="10" cm="1">
        <f t="array" ref="W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8" s="32">
        <v>0</v>
      </c>
      <c r="Y178" s="8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8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9" t="b">
        <v>0</v>
      </c>
      <c r="AY178"/>
      <c r="AZ178"/>
      <c r="BA178"/>
    </row>
    <row r="179" spans="1:53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t="s">
        <v>1928</v>
      </c>
      <c r="F179" t="str">
        <f>_xlfn.XLOOKUP(PROPERTIES[[#This Row],[COUNTRY]],COUNTRIES[COUNTRY_DESCRIPTION],COUNTRIES[COUNTRY_LABEL],"")</f>
        <v>US</v>
      </c>
      <c r="G179" t="str" cm="1">
        <f t="array" ref="G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9" t="s">
        <v>19</v>
      </c>
      <c r="I179">
        <v>0</v>
      </c>
      <c r="J179">
        <v>7</v>
      </c>
      <c r="K179">
        <v>7</v>
      </c>
      <c r="L179" t="str" cm="1">
        <f t="array" ref="L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9">
        <f>_xlfn.XLOOKUP("LOADINGSPEEDDEF_"&amp;PROPERTIES[[#This Row],[LOADINGSPEED]],LOADINGSPEEDDEF[TYPE],LOADINGSPEEDDEF[SPEED])</f>
        <v>20</v>
      </c>
      <c r="N179" cm="1">
        <f t="array" ref="N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9">
        <f>IF(ISNUMBER(SEARCH("passenger",PROPERTIES[[#This Row],[CARGODEF]])),1,0)</f>
        <v>0</v>
      </c>
      <c r="P179" s="29">
        <v>139</v>
      </c>
      <c r="Q179">
        <v>1500</v>
      </c>
      <c r="R179">
        <v>164</v>
      </c>
      <c r="S179" s="26">
        <v>250</v>
      </c>
      <c r="T179" s="25">
        <f>IFERROR(PROPERTIES[[#This Row],[TE_STARTING_KN]]/(PROPERTIES[[#This Row],[WEIGHT]]*9.81),0)</f>
        <v>0.1833395668786072</v>
      </c>
      <c r="U179" s="25">
        <v>0.16</v>
      </c>
      <c r="V179" s="22">
        <f>ROUND(IF(IFERROR(PROPERTIES[[#This Row],[TE_COEFFICIENT_CALC]],0)=0,PROPERTIES[[#This Row],[TE_COEFFICIENT_MANUAL]],PROPERTIES[[#This Row],[TE_COEFFICIENT_CALC]]),3)</f>
        <v>0.183</v>
      </c>
      <c r="W179" s="10" cm="1">
        <f t="array" ref="W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79" s="32">
        <v>0</v>
      </c>
      <c r="Y179" s="8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8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9" t="b">
        <v>0</v>
      </c>
      <c r="AY179"/>
      <c r="AZ179"/>
      <c r="BA179"/>
    </row>
    <row r="180" spans="1:53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t="s">
        <v>1928</v>
      </c>
      <c r="F180" t="str">
        <f>_xlfn.XLOOKUP(PROPERTIES[[#This Row],[COUNTRY]],COUNTRIES[COUNTRY_DESCRIPTION],COUNTRIES[COUNTRY_LABEL],"")</f>
        <v>US</v>
      </c>
      <c r="G180" t="str" cm="1">
        <f t="array" ref="G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0" t="s">
        <v>19</v>
      </c>
      <c r="I180">
        <v>0</v>
      </c>
      <c r="J180">
        <v>8</v>
      </c>
      <c r="K180">
        <v>8</v>
      </c>
      <c r="L180" t="str" cm="1">
        <f t="array" ref="L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0">
        <f>_xlfn.XLOOKUP("LOADINGSPEEDDEF_"&amp;PROPERTIES[[#This Row],[LOADINGSPEED]],LOADINGSPEEDDEF[TYPE],LOADINGSPEEDDEF[SPEED])</f>
        <v>20</v>
      </c>
      <c r="N180" cm="1">
        <f t="array" ref="N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0">
        <f>IF(ISNUMBER(SEARCH("passenger",PROPERTIES[[#This Row],[CARGODEF]])),1,0)</f>
        <v>0</v>
      </c>
      <c r="P180" s="29">
        <v>143</v>
      </c>
      <c r="Q180">
        <v>2250</v>
      </c>
      <c r="R180">
        <v>188</v>
      </c>
      <c r="S180" s="26">
        <v>251</v>
      </c>
      <c r="T180" s="25">
        <f>IFERROR(PROPERTIES[[#This Row],[TE_STARTING_KN]]/(PROPERTIES[[#This Row],[WEIGHT]]*9.81),0)</f>
        <v>0.17892403213504129</v>
      </c>
      <c r="U180" s="25">
        <v>0.13</v>
      </c>
      <c r="V180" s="22">
        <f>ROUND(IF(IFERROR(PROPERTIES[[#This Row],[TE_COEFFICIENT_CALC]],0)=0,PROPERTIES[[#This Row],[TE_COEFFICIENT_MANUAL]],PROPERTIES[[#This Row],[TE_COEFFICIENT_CALC]]),3)</f>
        <v>0.17899999999999999</v>
      </c>
      <c r="W180" s="10" cm="1">
        <f t="array" ref="W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0" s="32">
        <v>0</v>
      </c>
      <c r="Y180" s="8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8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9" t="b">
        <v>0</v>
      </c>
      <c r="AY180"/>
      <c r="AZ180"/>
      <c r="BA180"/>
    </row>
    <row r="181" spans="1:53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t="s">
        <v>1728</v>
      </c>
      <c r="F181" t="str">
        <f>_xlfn.XLOOKUP(PROPERTIES[[#This Row],[COUNTRY]],COUNTRIES[COUNTRY_DESCRIPTION],COUNTRIES[COUNTRY_LABEL],"")</f>
        <v>BR</v>
      </c>
      <c r="G181" t="str" cm="1">
        <f t="array" ref="G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1" t="s">
        <v>19</v>
      </c>
      <c r="I181">
        <v>0</v>
      </c>
      <c r="J181">
        <v>7</v>
      </c>
      <c r="K181">
        <v>7</v>
      </c>
      <c r="L181" t="str" cm="1">
        <f t="array" ref="L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1">
        <f>_xlfn.XLOOKUP("LOADINGSPEEDDEF_"&amp;PROPERTIES[[#This Row],[LOADINGSPEED]],LOADINGSPEEDDEF[TYPE],LOADINGSPEEDDEF[SPEED])</f>
        <v>20</v>
      </c>
      <c r="N181" cm="1">
        <f t="array" ref="N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1">
        <f>IF(ISNUMBER(SEARCH("passenger",PROPERTIES[[#This Row],[CARGODEF]])),1,0)</f>
        <v>0</v>
      </c>
      <c r="P181" s="29">
        <v>112</v>
      </c>
      <c r="Q181">
        <v>1600</v>
      </c>
      <c r="R181">
        <v>137</v>
      </c>
      <c r="S181" s="26">
        <v>274.8</v>
      </c>
      <c r="T181" s="25">
        <f>IFERROR(PROPERTIES[[#This Row],[TE_STARTING_KN]]/(PROPERTIES[[#This Row],[WEIGHT]]*9.81),0)</f>
        <v>0.25010921799912628</v>
      </c>
      <c r="U181" s="25">
        <v>0.1</v>
      </c>
      <c r="V181" s="22">
        <f>ROUND(IF(IFERROR(PROPERTIES[[#This Row],[TE_COEFFICIENT_CALC]],0)=0,PROPERTIES[[#This Row],[TE_COEFFICIENT_MANUAL]],PROPERTIES[[#This Row],[TE_COEFFICIENT_CALC]]),3)</f>
        <v>0.25</v>
      </c>
      <c r="W181" s="10" cm="1">
        <f t="array" ref="W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1" s="32">
        <v>0</v>
      </c>
      <c r="Y181" s="8">
        <v>0</v>
      </c>
      <c r="Z181" t="s">
        <v>881</v>
      </c>
      <c r="AA181" t="s">
        <v>870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8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9" t="b">
        <v>0</v>
      </c>
      <c r="AY181"/>
      <c r="AZ181"/>
      <c r="BA181"/>
    </row>
    <row r="182" spans="1:53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t="s">
        <v>1862</v>
      </c>
      <c r="F182" t="str">
        <f>_xlfn.XLOOKUP(PROPERTIES[[#This Row],[COUNTRY]],COUNTRIES[COUNTRY_DESCRIPTION],COUNTRIES[COUNTRY_LABEL],"")</f>
        <v>NL</v>
      </c>
      <c r="G182" t="str" cm="1">
        <f t="array" ref="G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2" t="s">
        <v>19</v>
      </c>
      <c r="I182">
        <v>0</v>
      </c>
      <c r="J182">
        <v>5</v>
      </c>
      <c r="K182">
        <v>5</v>
      </c>
      <c r="L182" t="str" cm="1">
        <f t="array" ref="L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2">
        <f>_xlfn.XLOOKUP("LOADINGSPEEDDEF_"&amp;PROPERTIES[[#This Row],[LOADINGSPEED]],LOADINGSPEEDDEF[TYPE],LOADINGSPEEDDEF[SPEED])</f>
        <v>20</v>
      </c>
      <c r="N182" cm="1">
        <f t="array" ref="N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2">
        <f>IF(ISNUMBER(SEARCH("passenger",PROPERTIES[[#This Row],[CARGODEF]])),1,0)</f>
        <v>0</v>
      </c>
      <c r="P182" s="29">
        <v>47</v>
      </c>
      <c r="Q182">
        <v>400</v>
      </c>
      <c r="R182">
        <v>30</v>
      </c>
      <c r="S182" s="26">
        <v>143</v>
      </c>
      <c r="T182" s="25">
        <f>IFERROR(PROPERTIES[[#This Row],[TE_STARTING_KN]]/(PROPERTIES[[#This Row],[WEIGHT]]*9.81),0)</f>
        <v>0.31014813368902766</v>
      </c>
      <c r="U182" s="25">
        <v>0.3</v>
      </c>
      <c r="V182" s="22">
        <f>ROUND(IF(IFERROR(PROPERTIES[[#This Row],[TE_COEFFICIENT_CALC]],0)=0,PROPERTIES[[#This Row],[TE_COEFFICIENT_MANUAL]],PROPERTIES[[#This Row],[TE_COEFFICIENT_CALC]]),3)</f>
        <v>0.31</v>
      </c>
      <c r="W182" s="10" cm="1">
        <f t="array" ref="W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182" s="32">
        <v>0</v>
      </c>
      <c r="Y182" s="8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8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9" t="b">
        <v>0</v>
      </c>
      <c r="AY182"/>
      <c r="AZ182"/>
      <c r="BA182"/>
    </row>
    <row r="183" spans="1:53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t="s">
        <v>1928</v>
      </c>
      <c r="F183" t="str">
        <f>_xlfn.XLOOKUP(PROPERTIES[[#This Row],[COUNTRY]],COUNTRIES[COUNTRY_DESCRIPTION],COUNTRIES[COUNTRY_LABEL],"")</f>
        <v>US</v>
      </c>
      <c r="G183" t="str" cm="1">
        <f t="array" ref="G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3" t="s">
        <v>19</v>
      </c>
      <c r="I183">
        <v>0</v>
      </c>
      <c r="J183">
        <v>7</v>
      </c>
      <c r="K183">
        <v>7</v>
      </c>
      <c r="L183" t="str" cm="1">
        <f t="array" ref="L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3">
        <f>_xlfn.XLOOKUP("LOADINGSPEEDDEF_"&amp;PROPERTIES[[#This Row],[LOADINGSPEED]],LOADINGSPEEDDEF[TYPE],LOADINGSPEEDDEF[SPEED])</f>
        <v>20</v>
      </c>
      <c r="N183" cm="1">
        <f t="array" ref="N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3">
        <f>IF(ISNUMBER(SEARCH("passenger",PROPERTIES[[#This Row],[CARGODEF]])),1,0)</f>
        <v>0</v>
      </c>
      <c r="P183" s="29">
        <v>121</v>
      </c>
      <c r="Q183">
        <v>1600</v>
      </c>
      <c r="R183">
        <v>110</v>
      </c>
      <c r="S183" s="26">
        <v>216.18</v>
      </c>
      <c r="T183" s="25">
        <f>IFERROR(PROPERTIES[[#This Row],[TE_STARTING_KN]]/(PROPERTIES[[#This Row],[WEIGHT]]*9.81),0)</f>
        <v>0.18212146485707786</v>
      </c>
      <c r="U183" s="25">
        <v>0.16</v>
      </c>
      <c r="V183" s="22">
        <f>ROUND(IF(IFERROR(PROPERTIES[[#This Row],[TE_COEFFICIENT_CALC]],0)=0,PROPERTIES[[#This Row],[TE_COEFFICIENT_MANUAL]],PROPERTIES[[#This Row],[TE_COEFFICIENT_CALC]]),3)</f>
        <v>0.182</v>
      </c>
      <c r="W183" s="10" cm="1">
        <f t="array" ref="W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3" s="32">
        <v>0</v>
      </c>
      <c r="Y183" s="8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8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9" t="b">
        <v>0</v>
      </c>
      <c r="AY183"/>
      <c r="AZ183"/>
      <c r="BA183"/>
    </row>
    <row r="184" spans="1:53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t="s">
        <v>1929</v>
      </c>
      <c r="F184" t="str">
        <f>_xlfn.XLOOKUP(PROPERTIES[[#This Row],[COUNTRY]],COUNTRIES[COUNTRY_DESCRIPTION],COUNTRIES[COUNTRY_LABEL],"")</f>
        <v>UY</v>
      </c>
      <c r="G184" t="str" cm="1">
        <f t="array" ref="G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4" t="s">
        <v>19</v>
      </c>
      <c r="I184">
        <v>0</v>
      </c>
      <c r="J184">
        <v>8</v>
      </c>
      <c r="K184">
        <v>8</v>
      </c>
      <c r="L184" t="str" cm="1">
        <f t="array" ref="L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4">
        <f>_xlfn.XLOOKUP("LOADINGSPEEDDEF_"&amp;PROPERTIES[[#This Row],[LOADINGSPEED]],LOADINGSPEEDDEF[TYPE],LOADINGSPEEDDEF[SPEED])</f>
        <v>20</v>
      </c>
      <c r="N184" cm="1">
        <f t="array" ref="N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4">
        <f>IF(ISNUMBER(SEARCH("passenger",PROPERTIES[[#This Row],[CARGODEF]])),1,0)</f>
        <v>0</v>
      </c>
      <c r="P184" s="29">
        <v>112</v>
      </c>
      <c r="Q184">
        <v>1500</v>
      </c>
      <c r="R184">
        <v>110</v>
      </c>
      <c r="S184" s="26">
        <v>255</v>
      </c>
      <c r="T184" s="25">
        <f>IFERROR(PROPERTIES[[#This Row],[TE_STARTING_KN]]/(PROPERTIES[[#This Row],[WEIGHT]]*9.81),0)</f>
        <v>0.23208824814329401</v>
      </c>
      <c r="U184" s="25">
        <v>0.18</v>
      </c>
      <c r="V184" s="22">
        <f>ROUND(IF(IFERROR(PROPERTIES[[#This Row],[TE_COEFFICIENT_CALC]],0)=0,PROPERTIES[[#This Row],[TE_COEFFICIENT_MANUAL]],PROPERTIES[[#This Row],[TE_COEFFICIENT_CALC]]),3)</f>
        <v>0.23200000000000001</v>
      </c>
      <c r="W184" s="10" cm="1">
        <f t="array" ref="W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4" s="32">
        <v>0</v>
      </c>
      <c r="Y184" s="8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8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9" t="b">
        <v>0</v>
      </c>
      <c r="AY184"/>
      <c r="AZ184"/>
      <c r="BA184"/>
    </row>
    <row r="185" spans="1:53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t="s">
        <v>1735</v>
      </c>
      <c r="F185" t="str">
        <f>_xlfn.XLOOKUP(PROPERTIES[[#This Row],[COUNTRY]],COUNTRIES[COUNTRY_DESCRIPTION],COUNTRIES[COUNTRY_LABEL],"")</f>
        <v>CA</v>
      </c>
      <c r="G185" t="str" cm="1">
        <f t="array" ref="G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5" t="s">
        <v>19</v>
      </c>
      <c r="I185">
        <v>0</v>
      </c>
      <c r="J185">
        <v>8</v>
      </c>
      <c r="K185">
        <v>8</v>
      </c>
      <c r="L185" t="str" cm="1">
        <f t="array" ref="L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5">
        <f>_xlfn.XLOOKUP("LOADINGSPEEDDEF_"&amp;PROPERTIES[[#This Row],[LOADINGSPEED]],LOADINGSPEEDDEF[TYPE],LOADINGSPEEDDEF[SPEED])</f>
        <v>20</v>
      </c>
      <c r="N185" cm="1">
        <f t="array" ref="N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5">
        <f>IF(ISNUMBER(SEARCH("passenger",PROPERTIES[[#This Row],[CARGODEF]])),1,0)</f>
        <v>0</v>
      </c>
      <c r="P185" s="29">
        <v>170</v>
      </c>
      <c r="Q185">
        <v>2400</v>
      </c>
      <c r="R185">
        <v>105</v>
      </c>
      <c r="S185" s="26">
        <v>498.2</v>
      </c>
      <c r="T185" s="25">
        <f>IFERROR(PROPERTIES[[#This Row],[TE_STARTING_KN]]/(PROPERTIES[[#This Row],[WEIGHT]]*9.81),0)</f>
        <v>0.29873478443365115</v>
      </c>
      <c r="U185" s="25">
        <v>0.28999999999999998</v>
      </c>
      <c r="V185" s="22">
        <f>ROUND(IF(IFERROR(PROPERTIES[[#This Row],[TE_COEFFICIENT_CALC]],0)=0,PROPERTIES[[#This Row],[TE_COEFFICIENT_MANUAL]],PROPERTIES[[#This Row],[TE_COEFFICIENT_CALC]]),3)</f>
        <v>0.29899999999999999</v>
      </c>
      <c r="W185" s="10" cm="1">
        <f t="array" ref="W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5" s="32">
        <v>0</v>
      </c>
      <c r="Y185" s="8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8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9" t="b">
        <v>0</v>
      </c>
      <c r="AY185"/>
      <c r="AZ185"/>
      <c r="BA185"/>
    </row>
    <row r="186" spans="1:53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t="s">
        <v>1827</v>
      </c>
      <c r="F186" t="str">
        <f>_xlfn.XLOOKUP(PROPERTIES[[#This Row],[COUNTRY]],COUNTRIES[COUNTRY_DESCRIPTION],COUNTRIES[COUNTRY_LABEL],"")</f>
        <v>LR</v>
      </c>
      <c r="G186" t="str" cm="1">
        <f t="array" ref="G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6" t="s">
        <v>19</v>
      </c>
      <c r="I186">
        <v>0</v>
      </c>
      <c r="J186">
        <v>5</v>
      </c>
      <c r="K186">
        <v>5</v>
      </c>
      <c r="L186" t="str" cm="1">
        <f t="array" ref="L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6">
        <f>_xlfn.XLOOKUP("LOADINGSPEEDDEF_"&amp;PROPERTIES[[#This Row],[LOADINGSPEED]],LOADINGSPEEDDEF[TYPE],LOADINGSPEEDDEF[SPEED])</f>
        <v>20</v>
      </c>
      <c r="N186" t="str" cm="1">
        <f t="array" ref="N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86">
        <f>IF(ISNUMBER(SEARCH("passenger",PROPERTIES[[#This Row],[CARGODEF]])),1,0)</f>
        <v>0</v>
      </c>
      <c r="P186" s="29">
        <v>50</v>
      </c>
      <c r="Q186">
        <v>350</v>
      </c>
      <c r="R186">
        <v>24</v>
      </c>
      <c r="S186" s="26">
        <v>160</v>
      </c>
      <c r="T186" s="25">
        <f>IFERROR(PROPERTIES[[#This Row],[TE_STARTING_KN]]/(PROPERTIES[[#This Row],[WEIGHT]]*9.81),0)</f>
        <v>0.32619775739041795</v>
      </c>
      <c r="U186" s="25">
        <v>0.32</v>
      </c>
      <c r="V186" s="22">
        <f>ROUND(IF(IFERROR(PROPERTIES[[#This Row],[TE_COEFFICIENT_CALC]],0)=0,PROPERTIES[[#This Row],[TE_COEFFICIENT_MANUAL]],PROPERTIES[[#This Row],[TE_COEFFICIENT_CALC]]),3)</f>
        <v>0.32600000000000001</v>
      </c>
      <c r="W186" s="10" cm="1">
        <f t="array" ref="W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X186" s="32">
        <v>0</v>
      </c>
      <c r="Y186" s="8">
        <v>0</v>
      </c>
      <c r="Z186" t="s">
        <v>872</v>
      </c>
      <c r="AA186" t="s">
        <v>873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8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9" t="b">
        <v>0</v>
      </c>
      <c r="AY186"/>
      <c r="AZ186"/>
      <c r="BA186"/>
    </row>
    <row r="187" spans="1:53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t="s">
        <v>1709</v>
      </c>
      <c r="F187" t="str">
        <f>_xlfn.XLOOKUP(PROPERTIES[[#This Row],[COUNTRY]],COUNTRIES[COUNTRY_DESCRIPTION],COUNTRIES[COUNTRY_LABEL],"")</f>
        <v>AT</v>
      </c>
      <c r="G187" t="str" cm="1">
        <f t="array" ref="G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7" t="s">
        <v>19</v>
      </c>
      <c r="I187">
        <v>0</v>
      </c>
      <c r="J187">
        <v>5</v>
      </c>
      <c r="K187">
        <v>5</v>
      </c>
      <c r="L187" t="str" cm="1">
        <f t="array" ref="L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7">
        <f>_xlfn.XLOOKUP("LOADINGSPEEDDEF_"&amp;PROPERTIES[[#This Row],[LOADINGSPEED]],LOADINGSPEEDDEF[TYPE],LOADINGSPEEDDEF[SPEED])</f>
        <v>20</v>
      </c>
      <c r="N187" cm="1">
        <f t="array" ref="N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7">
        <f>IF(ISNUMBER(SEARCH("passenger",PROPERTIES[[#This Row],[CARGODEF]])),1,0)</f>
        <v>0</v>
      </c>
      <c r="P187" s="29">
        <v>28</v>
      </c>
      <c r="Q187">
        <v>200</v>
      </c>
      <c r="R187">
        <v>60</v>
      </c>
      <c r="S187" s="26">
        <v>79</v>
      </c>
      <c r="T187" s="25">
        <f>IFERROR(PROPERTIES[[#This Row],[TE_STARTING_KN]]/(PROPERTIES[[#This Row],[WEIGHT]]*9.81),0)</f>
        <v>0.28760739769914079</v>
      </c>
      <c r="U187" s="25">
        <v>0.28000000000000003</v>
      </c>
      <c r="V187" s="22">
        <f>ROUND(IF(IFERROR(PROPERTIES[[#This Row],[TE_COEFFICIENT_CALC]],0)=0,PROPERTIES[[#This Row],[TE_COEFFICIENT_MANUAL]],PROPERTIES[[#This Row],[TE_COEFFICIENT_CALC]]),3)</f>
        <v>0.28799999999999998</v>
      </c>
      <c r="W187" s="10" cm="1">
        <f t="array" ref="W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87" s="32">
        <v>0</v>
      </c>
      <c r="Y187" s="8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8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9" t="b">
        <v>0</v>
      </c>
      <c r="AY187"/>
      <c r="AZ187"/>
      <c r="BA187"/>
    </row>
    <row r="188" spans="1:53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t="s">
        <v>1735</v>
      </c>
      <c r="F188" t="str">
        <f>_xlfn.XLOOKUP(PROPERTIES[[#This Row],[COUNTRY]],COUNTRIES[COUNTRY_DESCRIPTION],COUNTRIES[COUNTRY_LABEL],"")</f>
        <v>CA</v>
      </c>
      <c r="G188" t="str" cm="1">
        <f t="array" ref="G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8" t="s">
        <v>19</v>
      </c>
      <c r="I188">
        <v>0</v>
      </c>
      <c r="J188">
        <v>6</v>
      </c>
      <c r="K188">
        <v>6</v>
      </c>
      <c r="L188" t="str" cm="1">
        <f t="array" ref="L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8">
        <f>_xlfn.XLOOKUP("LOADINGSPEEDDEF_"&amp;PROPERTIES[[#This Row],[LOADINGSPEED]],LOADINGSPEEDDEF[TYPE],LOADINGSPEEDDEF[SPEED])</f>
        <v>20</v>
      </c>
      <c r="N188" cm="1">
        <f t="array" ref="N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8">
        <f>IF(ISNUMBER(SEARCH("passenger",PROPERTIES[[#This Row],[CARGODEF]])),1,0)</f>
        <v>0</v>
      </c>
      <c r="P188" s="29">
        <v>111</v>
      </c>
      <c r="Q188">
        <v>1200</v>
      </c>
      <c r="R188">
        <v>104</v>
      </c>
      <c r="S188" s="26">
        <v>0</v>
      </c>
      <c r="T188" s="25">
        <f>IFERROR(PROPERTIES[[#This Row],[TE_STARTING_KN]]/(PROPERTIES[[#This Row],[WEIGHT]]*9.81),0)</f>
        <v>0</v>
      </c>
      <c r="U188" s="25">
        <v>0.14000000000000001</v>
      </c>
      <c r="V188" s="22">
        <f>ROUND(IF(IFERROR(PROPERTIES[[#This Row],[TE_COEFFICIENT_CALC]],0)=0,PROPERTIES[[#This Row],[TE_COEFFICIENT_MANUAL]],PROPERTIES[[#This Row],[TE_COEFFICIENT_CALC]]),3)</f>
        <v>0.14000000000000001</v>
      </c>
      <c r="W188" s="10" cm="1">
        <f t="array" ref="W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8" s="32">
        <v>0</v>
      </c>
      <c r="Y188" s="8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8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9" t="b">
        <v>0</v>
      </c>
      <c r="AY188"/>
      <c r="AZ188"/>
      <c r="BA188"/>
    </row>
    <row r="189" spans="1:53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t="s">
        <v>1735</v>
      </c>
      <c r="F189" t="str">
        <f>_xlfn.XLOOKUP(PROPERTIES[[#This Row],[COUNTRY]],COUNTRIES[COUNTRY_DESCRIPTION],COUNTRIES[COUNTRY_LABEL],"")</f>
        <v>CA</v>
      </c>
      <c r="G189" t="str" cm="1">
        <f t="array" ref="G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9" t="s">
        <v>19</v>
      </c>
      <c r="I189">
        <v>0</v>
      </c>
      <c r="J189">
        <v>8</v>
      </c>
      <c r="K189">
        <v>8</v>
      </c>
      <c r="L189" t="str" cm="1">
        <f t="array" ref="L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9">
        <f>_xlfn.XLOOKUP("LOADINGSPEEDDEF_"&amp;PROPERTIES[[#This Row],[LOADINGSPEED]],LOADINGSPEEDDEF[TYPE],LOADINGSPEEDDEF[SPEED])</f>
        <v>20</v>
      </c>
      <c r="N189" cm="1">
        <f t="array" ref="N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9">
        <f>IF(ISNUMBER(SEARCH("passenger",PROPERTIES[[#This Row],[CARGODEF]])),1,0)</f>
        <v>0</v>
      </c>
      <c r="P189" s="29">
        <v>104</v>
      </c>
      <c r="Q189">
        <v>1800</v>
      </c>
      <c r="R189">
        <v>144</v>
      </c>
      <c r="S189" s="26">
        <v>0</v>
      </c>
      <c r="T189" s="25">
        <f>IFERROR(PROPERTIES[[#This Row],[TE_STARTING_KN]]/(PROPERTIES[[#This Row],[WEIGHT]]*9.81),0)</f>
        <v>0</v>
      </c>
      <c r="U189" s="25">
        <v>0.19</v>
      </c>
      <c r="V189" s="22">
        <f>ROUND(IF(IFERROR(PROPERTIES[[#This Row],[TE_COEFFICIENT_CALC]],0)=0,PROPERTIES[[#This Row],[TE_COEFFICIENT_MANUAL]],PROPERTIES[[#This Row],[TE_COEFFICIENT_CALC]]),3)</f>
        <v>0.19</v>
      </c>
      <c r="W189" s="10" cm="1">
        <f t="array" ref="W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89" s="32">
        <v>0</v>
      </c>
      <c r="Y189" s="8">
        <v>0</v>
      </c>
      <c r="Z189" t="s">
        <v>874</v>
      </c>
      <c r="AA189" t="s">
        <v>877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8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9" t="b">
        <v>0</v>
      </c>
      <c r="AY189"/>
      <c r="AZ189"/>
      <c r="BA189"/>
    </row>
    <row r="190" spans="1:53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t="s">
        <v>1796</v>
      </c>
      <c r="F190" t="str">
        <f>_xlfn.XLOOKUP(PROPERTIES[[#This Row],[COUNTRY]],COUNTRIES[COUNTRY_DESCRIPTION],COUNTRIES[COUNTRY_LABEL],"")</f>
        <v>HU</v>
      </c>
      <c r="G190" t="str" cm="1">
        <f t="array" ref="G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0" t="s">
        <v>19</v>
      </c>
      <c r="I190">
        <v>0</v>
      </c>
      <c r="J190">
        <v>6</v>
      </c>
      <c r="K190">
        <v>6</v>
      </c>
      <c r="L190" t="str" cm="1">
        <f t="array" ref="L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0">
        <f>_xlfn.XLOOKUP("LOADINGSPEEDDEF_"&amp;PROPERTIES[[#This Row],[LOADINGSPEED]],LOADINGSPEEDDEF[TYPE],LOADINGSPEEDDEF[SPEED])</f>
        <v>20</v>
      </c>
      <c r="N190" t="str" cm="1">
        <f t="array" ref="N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0">
        <f>IF(ISNUMBER(SEARCH("passenger",PROPERTIES[[#This Row],[CARGODEF]])),1,0)</f>
        <v>0</v>
      </c>
      <c r="P190" s="29">
        <v>62</v>
      </c>
      <c r="Q190">
        <v>590</v>
      </c>
      <c r="R190">
        <v>80</v>
      </c>
      <c r="S190" s="26">
        <v>166.5</v>
      </c>
      <c r="T190" s="25">
        <f>IFERROR(PROPERTIES[[#This Row],[TE_STARTING_KN]]/(PROPERTIES[[#This Row],[WEIGHT]]*9.81),0)</f>
        <v>0.27374963006806746</v>
      </c>
      <c r="U190" s="25">
        <v>0.3</v>
      </c>
      <c r="V190" s="22">
        <f>ROUND(IF(IFERROR(PROPERTIES[[#This Row],[TE_COEFFICIENT_CALC]],0)=0,PROPERTIES[[#This Row],[TE_COEFFICIENT_MANUAL]],PROPERTIES[[#This Row],[TE_COEFFICIENT_CALC]]),3)</f>
        <v>0.27400000000000002</v>
      </c>
      <c r="W190" s="10" cm="1">
        <f t="array" ref="W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190" s="32">
        <v>0</v>
      </c>
      <c r="Y190" s="8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8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9" t="b">
        <v>0</v>
      </c>
      <c r="AY190"/>
      <c r="AZ190"/>
      <c r="BA190"/>
    </row>
    <row r="191" spans="1:53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t="s">
        <v>1796</v>
      </c>
      <c r="F191" t="str">
        <f>_xlfn.XLOOKUP(PROPERTIES[[#This Row],[COUNTRY]],COUNTRIES[COUNTRY_DESCRIPTION],COUNTRIES[COUNTRY_LABEL],"")</f>
        <v>HU</v>
      </c>
      <c r="G191" t="str" cm="1">
        <f t="array" ref="G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1" t="s">
        <v>19</v>
      </c>
      <c r="I191">
        <v>0</v>
      </c>
      <c r="J191">
        <v>4</v>
      </c>
      <c r="K191">
        <v>4</v>
      </c>
      <c r="L191" t="str" cm="1">
        <f t="array" ref="L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1">
        <f>_xlfn.XLOOKUP("LOADINGSPEEDDEF_"&amp;PROPERTIES[[#This Row],[LOADINGSPEED]],LOADINGSPEEDDEF[TYPE],LOADINGSPEEDDEF[SPEED])</f>
        <v>20</v>
      </c>
      <c r="N191" t="str" cm="1">
        <f t="array" ref="N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1">
        <f>IF(ISNUMBER(SEARCH("passenger",PROPERTIES[[#This Row],[CARGODEF]])),1,0)</f>
        <v>0</v>
      </c>
      <c r="P191" s="29">
        <v>19</v>
      </c>
      <c r="Q191">
        <v>135</v>
      </c>
      <c r="R191">
        <v>50</v>
      </c>
      <c r="S191" s="26">
        <v>0</v>
      </c>
      <c r="T191" s="25">
        <f>IFERROR(PROPERTIES[[#This Row],[TE_STARTING_KN]]/(PROPERTIES[[#This Row],[WEIGHT]]*9.81),0)</f>
        <v>0</v>
      </c>
      <c r="U191" s="25">
        <v>0.32</v>
      </c>
      <c r="V191" s="22">
        <f>ROUND(IF(IFERROR(PROPERTIES[[#This Row],[TE_COEFFICIENT_CALC]],0)=0,PROPERTIES[[#This Row],[TE_COEFFICIENT_MANUAL]],PROPERTIES[[#This Row],[TE_COEFFICIENT_CALC]]),3)</f>
        <v>0.32</v>
      </c>
      <c r="W191" s="10" cm="1">
        <f t="array" ref="W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X191" s="32">
        <v>0</v>
      </c>
      <c r="Y191" s="8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8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9" t="b">
        <v>0</v>
      </c>
      <c r="AY191"/>
      <c r="AZ191"/>
      <c r="BA191"/>
    </row>
    <row r="192" spans="1:53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t="s">
        <v>1717</v>
      </c>
      <c r="F192" t="str">
        <f>_xlfn.XLOOKUP(PROPERTIES[[#This Row],[COUNTRY]],COUNTRIES[COUNTRY_DESCRIPTION],COUNTRIES[COUNTRY_LABEL],"")</f>
        <v>BE</v>
      </c>
      <c r="G192" t="str" cm="1">
        <f t="array" ref="G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2" t="s">
        <v>19</v>
      </c>
      <c r="I192">
        <v>0</v>
      </c>
      <c r="J192">
        <v>5</v>
      </c>
      <c r="K192">
        <v>5</v>
      </c>
      <c r="L192" t="str" cm="1">
        <f t="array" ref="L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2">
        <f>_xlfn.XLOOKUP("LOADINGSPEEDDEF_"&amp;PROPERTIES[[#This Row],[LOADINGSPEED]],LOADINGSPEEDDEF[TYPE],LOADINGSPEEDDEF[SPEED])</f>
        <v>20</v>
      </c>
      <c r="N192" cm="1">
        <f t="array" ref="N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2">
        <f>IF(ISNUMBER(SEARCH("passenger",PROPERTIES[[#This Row],[CARGODEF]])),1,0)</f>
        <v>0</v>
      </c>
      <c r="P192" s="29">
        <v>57</v>
      </c>
      <c r="Q192">
        <v>440</v>
      </c>
      <c r="R192">
        <v>50</v>
      </c>
      <c r="S192" s="26">
        <v>196</v>
      </c>
      <c r="T192" s="25">
        <f>IFERROR(PROPERTIES[[#This Row],[TE_STARTING_KN]]/(PROPERTIES[[#This Row],[WEIGHT]]*9.81),0)</f>
        <v>0.35051952000286135</v>
      </c>
      <c r="U192" s="25">
        <v>0.39</v>
      </c>
      <c r="V192" s="22">
        <f>ROUND(IF(IFERROR(PROPERTIES[[#This Row],[TE_COEFFICIENT_CALC]],0)=0,PROPERTIES[[#This Row],[TE_COEFFICIENT_MANUAL]],PROPERTIES[[#This Row],[TE_COEFFICIENT_CALC]]),3)</f>
        <v>0.35099999999999998</v>
      </c>
      <c r="W192" s="10" cm="1">
        <f t="array" ref="W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2" s="32">
        <v>0</v>
      </c>
      <c r="Y192" s="8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8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9" t="b">
        <v>0</v>
      </c>
      <c r="AY192"/>
      <c r="AZ192"/>
      <c r="BA192"/>
    </row>
    <row r="193" spans="1:53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t="s">
        <v>1754</v>
      </c>
      <c r="F193" t="str">
        <f>_xlfn.XLOOKUP(PROPERTIES[[#This Row],[COUNTRY]],COUNTRIES[COUNTRY_DESCRIPTION],COUNTRIES[COUNTRY_LABEL],"")</f>
        <v>DE</v>
      </c>
      <c r="G193" t="str" cm="1">
        <f t="array" ref="G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3" t="s">
        <v>19</v>
      </c>
      <c r="I193">
        <v>0</v>
      </c>
      <c r="J193">
        <v>8</v>
      </c>
      <c r="K193">
        <v>8</v>
      </c>
      <c r="L193" t="str" cm="1">
        <f t="array" ref="L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3">
        <f>_xlfn.XLOOKUP("LOADINGSPEEDDEF_"&amp;PROPERTIES[[#This Row],[LOADINGSPEED]],LOADINGSPEEDDEF[TYPE],LOADINGSPEEDDEF[SPEED])</f>
        <v>20</v>
      </c>
      <c r="N193" cm="1">
        <f t="array" ref="N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3">
        <f>IF(ISNUMBER(SEARCH("passenger",PROPERTIES[[#This Row],[CARGODEF]])),1,0)</f>
        <v>0</v>
      </c>
      <c r="P193" s="29">
        <v>81</v>
      </c>
      <c r="Q193">
        <v>2169</v>
      </c>
      <c r="R193">
        <v>140</v>
      </c>
      <c r="S193" s="26">
        <v>234</v>
      </c>
      <c r="T193" s="25">
        <f>IFERROR(PROPERTIES[[#This Row],[TE_STARTING_KN]]/(PROPERTIES[[#This Row],[WEIGHT]]*9.81),0)</f>
        <v>0.29448408653301616</v>
      </c>
      <c r="U193" s="25">
        <v>0.28999999999999998</v>
      </c>
      <c r="V193" s="22">
        <f>ROUND(IF(IFERROR(PROPERTIES[[#This Row],[TE_COEFFICIENT_CALC]],0)=0,PROPERTIES[[#This Row],[TE_COEFFICIENT_MANUAL]],PROPERTIES[[#This Row],[TE_COEFFICIENT_CALC]]),3)</f>
        <v>0.29399999999999998</v>
      </c>
      <c r="W193" s="10" cm="1">
        <f t="array" ref="W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3" s="32">
        <v>0</v>
      </c>
      <c r="Y193" s="8">
        <v>0</v>
      </c>
      <c r="Z193" t="s">
        <v>869</v>
      </c>
      <c r="AA193" t="s">
        <v>870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8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9" t="b">
        <v>0</v>
      </c>
      <c r="AY193"/>
      <c r="AZ193"/>
      <c r="BA193"/>
    </row>
    <row r="194" spans="1:53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t="s">
        <v>1928</v>
      </c>
      <c r="F194" t="str">
        <f>_xlfn.XLOOKUP(PROPERTIES[[#This Row],[COUNTRY]],COUNTRIES[COUNTRY_DESCRIPTION],COUNTRIES[COUNTRY_LABEL],"")</f>
        <v>US</v>
      </c>
      <c r="G194" t="str" cm="1">
        <f t="array" ref="G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4" t="s">
        <v>19</v>
      </c>
      <c r="I194">
        <v>0</v>
      </c>
      <c r="J194">
        <v>8</v>
      </c>
      <c r="K194">
        <v>8</v>
      </c>
      <c r="L194" t="str" cm="1">
        <f t="array" ref="L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4">
        <f>_xlfn.XLOOKUP("LOADINGSPEEDDEF_"&amp;PROPERTIES[[#This Row],[LOADINGSPEED]],LOADINGSPEEDDEF[TYPE],LOADINGSPEEDDEF[SPEED])</f>
        <v>20</v>
      </c>
      <c r="N194" cm="1">
        <f t="array" ref="N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4">
        <f>IF(ISNUMBER(SEARCH("passenger",PROPERTIES[[#This Row],[CARGODEF]])),1,0)</f>
        <v>0</v>
      </c>
      <c r="P194" s="29">
        <v>130</v>
      </c>
      <c r="Q194">
        <v>1750</v>
      </c>
      <c r="R194">
        <v>144</v>
      </c>
      <c r="S194" s="26">
        <v>253.28</v>
      </c>
      <c r="T194" s="25">
        <f>IFERROR(PROPERTIES[[#This Row],[TE_STARTING_KN]]/(PROPERTIES[[#This Row],[WEIGHT]]*9.81),0)</f>
        <v>0.19860424998039677</v>
      </c>
      <c r="U194" s="25">
        <v>0.2</v>
      </c>
      <c r="V194" s="22">
        <f>ROUND(IF(IFERROR(PROPERTIES[[#This Row],[TE_COEFFICIENT_CALC]],0)=0,PROPERTIES[[#This Row],[TE_COEFFICIENT_MANUAL]],PROPERTIES[[#This Row],[TE_COEFFICIENT_CALC]]),3)</f>
        <v>0.19900000000000001</v>
      </c>
      <c r="W194" s="10" cm="1">
        <f t="array" ref="W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194" s="32">
        <v>0</v>
      </c>
      <c r="Y194" s="8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8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9" t="b">
        <v>0</v>
      </c>
      <c r="AY194"/>
      <c r="AZ194"/>
      <c r="BA194"/>
    </row>
    <row r="195" spans="1:53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t="s">
        <v>1753</v>
      </c>
      <c r="F195" t="str">
        <f>_xlfn.XLOOKUP(PROPERTIES[[#This Row],[COUNTRY]],COUNTRIES[COUNTRY_DESCRIPTION],COUNTRIES[COUNTRY_LABEL],"")</f>
        <v>CZ</v>
      </c>
      <c r="G195" t="str" cm="1">
        <f t="array" ref="G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5" t="s">
        <v>19</v>
      </c>
      <c r="I195">
        <v>0</v>
      </c>
      <c r="J195">
        <v>6</v>
      </c>
      <c r="K195">
        <v>6</v>
      </c>
      <c r="L195" t="str" cm="1">
        <f t="array" ref="L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5">
        <f>_xlfn.XLOOKUP("LOADINGSPEEDDEF_"&amp;PROPERTIES[[#This Row],[LOADINGSPEED]],LOADINGSPEEDDEF[TYPE],LOADINGSPEEDDEF[SPEED])</f>
        <v>20</v>
      </c>
      <c r="N195" cm="1">
        <f t="array" ref="N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5">
        <f>IF(ISNUMBER(SEARCH("passenger",PROPERTIES[[#This Row],[CARGODEF]])),1,0)</f>
        <v>0</v>
      </c>
      <c r="P195" s="29">
        <v>61</v>
      </c>
      <c r="Q195">
        <v>740</v>
      </c>
      <c r="R195">
        <v>80</v>
      </c>
      <c r="S195" s="26">
        <v>160</v>
      </c>
      <c r="T195" s="25">
        <f>IFERROR(PROPERTIES[[#This Row],[TE_STARTING_KN]]/(PROPERTIES[[#This Row],[WEIGHT]]*9.81),0)</f>
        <v>0.2673752109757524</v>
      </c>
      <c r="U195" s="25">
        <v>0.28000000000000003</v>
      </c>
      <c r="V195" s="22">
        <f>ROUND(IF(IFERROR(PROPERTIES[[#This Row],[TE_COEFFICIENT_CALC]],0)=0,PROPERTIES[[#This Row],[TE_COEFFICIENT_MANUAL]],PROPERTIES[[#This Row],[TE_COEFFICIENT_CALC]]),3)</f>
        <v>0.26700000000000002</v>
      </c>
      <c r="W195" s="10" cm="1">
        <f t="array" ref="W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5" s="32">
        <v>0</v>
      </c>
      <c r="Y195" s="8">
        <v>0</v>
      </c>
      <c r="Z195" t="s">
        <v>3514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8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9" t="b">
        <v>0</v>
      </c>
      <c r="AY195"/>
      <c r="AZ195"/>
      <c r="BA195"/>
    </row>
    <row r="196" spans="1:53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t="s">
        <v>1767</v>
      </c>
      <c r="F196" t="str">
        <f>_xlfn.XLOOKUP(PROPERTIES[[#This Row],[COUNTRY]],COUNTRIES[COUNTRY_DESCRIPTION],COUNTRIES[COUNTRY_LABEL],"")</f>
        <v>FI</v>
      </c>
      <c r="G196" t="str" cm="1">
        <f t="array" ref="G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6" t="s">
        <v>19</v>
      </c>
      <c r="I196">
        <v>0</v>
      </c>
      <c r="J196">
        <v>8</v>
      </c>
      <c r="K196">
        <v>8</v>
      </c>
      <c r="L196" t="str" cm="1">
        <f t="array" ref="L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6">
        <f>_xlfn.XLOOKUP("LOADINGSPEEDDEF_"&amp;PROPERTIES[[#This Row],[LOADINGSPEED]],LOADINGSPEEDDEF[TYPE],LOADINGSPEEDDEF[SPEED])</f>
        <v>20</v>
      </c>
      <c r="N196" cm="1">
        <f t="array" ref="N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6">
        <f>IF(ISNUMBER(SEARCH("passenger",PROPERTIES[[#This Row],[CARGODEF]])),1,0)</f>
        <v>0</v>
      </c>
      <c r="P196" s="29">
        <v>122</v>
      </c>
      <c r="Q196">
        <v>1900</v>
      </c>
      <c r="R196">
        <v>120</v>
      </c>
      <c r="S196" s="26">
        <v>275</v>
      </c>
      <c r="T196" s="25">
        <f>IFERROR(PROPERTIES[[#This Row],[TE_STARTING_KN]]/(PROPERTIES[[#This Row],[WEIGHT]]*9.81),0)</f>
        <v>0.2297755719322872</v>
      </c>
      <c r="U196" s="25">
        <v>0.18</v>
      </c>
      <c r="V196" s="22">
        <f>ROUND(IF(IFERROR(PROPERTIES[[#This Row],[TE_COEFFICIENT_CALC]],0)=0,PROPERTIES[[#This Row],[TE_COEFFICIENT_MANUAL]],PROPERTIES[[#This Row],[TE_COEFFICIENT_CALC]]),3)</f>
        <v>0.23</v>
      </c>
      <c r="W196" s="10" cm="1">
        <f t="array" ref="W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6" s="32">
        <v>0</v>
      </c>
      <c r="Y196" s="8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8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9" t="b">
        <v>0</v>
      </c>
      <c r="AY196"/>
      <c r="AZ196"/>
      <c r="BA196"/>
    </row>
    <row r="197" spans="1:53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t="s">
        <v>1885</v>
      </c>
      <c r="F197" t="str">
        <f>_xlfn.XLOOKUP(PROPERTIES[[#This Row],[COUNTRY]],COUNTRIES[COUNTRY_DESCRIPTION],COUNTRIES[COUNTRY_LABEL],"")</f>
        <v>RO</v>
      </c>
      <c r="G197" t="str" cm="1">
        <f t="array" ref="G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7" t="s">
        <v>19</v>
      </c>
      <c r="I197">
        <v>0</v>
      </c>
      <c r="J197">
        <v>8</v>
      </c>
      <c r="K197">
        <v>8</v>
      </c>
      <c r="L197" t="str" cm="1">
        <f t="array" ref="L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7">
        <f>_xlfn.XLOOKUP("LOADINGSPEEDDEF_"&amp;PROPERTIES[[#This Row],[LOADINGSPEED]],LOADINGSPEEDDEF[TYPE],LOADINGSPEEDDEF[SPEED])</f>
        <v>20</v>
      </c>
      <c r="N197" cm="1">
        <f t="array" ref="N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7">
        <f>IF(ISNUMBER(SEARCH("passenger",PROPERTIES[[#This Row],[CARGODEF]])),1,0)</f>
        <v>0</v>
      </c>
      <c r="P197" s="29">
        <v>116</v>
      </c>
      <c r="Q197">
        <v>2070</v>
      </c>
      <c r="R197">
        <v>100</v>
      </c>
      <c r="S197" s="26">
        <v>0</v>
      </c>
      <c r="T197" s="25">
        <f>IFERROR(PROPERTIES[[#This Row],[TE_STARTING_KN]]/(PROPERTIES[[#This Row],[WEIGHT]]*9.81),0)</f>
        <v>0</v>
      </c>
      <c r="U197" s="25">
        <v>0.27</v>
      </c>
      <c r="V197" s="22">
        <f>ROUND(IF(IFERROR(PROPERTIES[[#This Row],[TE_COEFFICIENT_CALC]],0)=0,PROPERTIES[[#This Row],[TE_COEFFICIENT_MANUAL]],PROPERTIES[[#This Row],[TE_COEFFICIENT_CALC]]),3)</f>
        <v>0.27</v>
      </c>
      <c r="W197" s="10" cm="1">
        <f t="array" ref="W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7" s="32">
        <v>0</v>
      </c>
      <c r="Y197" s="8">
        <v>0</v>
      </c>
      <c r="Z197" t="s">
        <v>3514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8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9" t="b">
        <v>0</v>
      </c>
      <c r="AY197"/>
      <c r="AZ197"/>
      <c r="BA197"/>
    </row>
    <row r="198" spans="1:53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t="s">
        <v>1728</v>
      </c>
      <c r="F198" t="str">
        <f>_xlfn.XLOOKUP(PROPERTIES[[#This Row],[COUNTRY]],COUNTRIES[COUNTRY_DESCRIPTION],COUNTRIES[COUNTRY_LABEL],"")</f>
        <v>BR</v>
      </c>
      <c r="G198" t="str" cm="1">
        <f t="array" ref="G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8" t="s">
        <v>19</v>
      </c>
      <c r="I198">
        <v>0</v>
      </c>
      <c r="J198">
        <v>5</v>
      </c>
      <c r="K198">
        <v>5</v>
      </c>
      <c r="L198" t="str" cm="1">
        <f t="array" ref="L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8">
        <f>_xlfn.XLOOKUP("LOADINGSPEEDDEF_"&amp;PROPERTIES[[#This Row],[LOADINGSPEED]],LOADINGSPEEDDEF[TYPE],LOADINGSPEEDDEF[SPEED])</f>
        <v>20</v>
      </c>
      <c r="N198" t="str" cm="1">
        <f t="array" ref="N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8">
        <f>IF(ISNUMBER(SEARCH("passenger",PROPERTIES[[#This Row],[CARGODEF]])),1,0)</f>
        <v>0</v>
      </c>
      <c r="P198" s="29">
        <v>64</v>
      </c>
      <c r="Q198">
        <v>875</v>
      </c>
      <c r="R198">
        <v>124</v>
      </c>
      <c r="S198" s="26">
        <v>152</v>
      </c>
      <c r="T198" s="25">
        <f>IFERROR(PROPERTIES[[#This Row],[TE_STARTING_KN]]/(PROPERTIES[[#This Row],[WEIGHT]]*9.81),0)</f>
        <v>0.24209989806320081</v>
      </c>
      <c r="U198" s="25">
        <v>0.13</v>
      </c>
      <c r="V198" s="22">
        <f>ROUND(IF(IFERROR(PROPERTIES[[#This Row],[TE_COEFFICIENT_CALC]],0)=0,PROPERTIES[[#This Row],[TE_COEFFICIENT_MANUAL]],PROPERTIES[[#This Row],[TE_COEFFICIENT_CALC]]),3)</f>
        <v>0.24199999999999999</v>
      </c>
      <c r="W198" s="10" cm="1">
        <f t="array" ref="W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198" s="32">
        <v>0</v>
      </c>
      <c r="Y198" s="8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8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9" t="b">
        <v>0</v>
      </c>
      <c r="AY198"/>
      <c r="AZ198"/>
      <c r="BA198"/>
    </row>
    <row r="199" spans="1:53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t="s">
        <v>1728</v>
      </c>
      <c r="F199" t="str">
        <f>_xlfn.XLOOKUP(PROPERTIES[[#This Row],[COUNTRY]],COUNTRIES[COUNTRY_DESCRIPTION],COUNTRIES[COUNTRY_LABEL],"")</f>
        <v>BR</v>
      </c>
      <c r="G199" t="str" cm="1">
        <f t="array" ref="G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9" t="s">
        <v>19</v>
      </c>
      <c r="I199">
        <v>0</v>
      </c>
      <c r="J199">
        <v>8</v>
      </c>
      <c r="K199">
        <v>8</v>
      </c>
      <c r="L199" t="str" cm="1">
        <f t="array" ref="L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9">
        <f>_xlfn.XLOOKUP("LOADINGSPEEDDEF_"&amp;PROPERTIES[[#This Row],[LOADINGSPEED]],LOADINGSPEEDDEF[TYPE],LOADINGSPEEDDEF[SPEED])</f>
        <v>20</v>
      </c>
      <c r="N199" cm="1">
        <f t="array" ref="N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9">
        <f>IF(ISNUMBER(SEARCH("passenger",PROPERTIES[[#This Row],[CARGODEF]])),1,0)</f>
        <v>0</v>
      </c>
      <c r="P199" s="29">
        <v>156</v>
      </c>
      <c r="Q199">
        <v>3540</v>
      </c>
      <c r="R199">
        <v>110</v>
      </c>
      <c r="S199" s="26">
        <v>400</v>
      </c>
      <c r="T199" s="25">
        <f>IFERROR(PROPERTIES[[#This Row],[TE_STARTING_KN]]/(PROPERTIES[[#This Row],[WEIGHT]]*9.81),0)</f>
        <v>0.26137640816539898</v>
      </c>
      <c r="U199" s="25">
        <v>0.28999999999999998</v>
      </c>
      <c r="V199" s="22">
        <f>ROUND(IF(IFERROR(PROPERTIES[[#This Row],[TE_COEFFICIENT_CALC]],0)=0,PROPERTIES[[#This Row],[TE_COEFFICIENT_MANUAL]],PROPERTIES[[#This Row],[TE_COEFFICIENT_CALC]]),3)</f>
        <v>0.26100000000000001</v>
      </c>
      <c r="W199" s="10" cm="1">
        <f t="array" ref="W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9" s="32">
        <v>0</v>
      </c>
      <c r="Y199" s="8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8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9" t="b">
        <v>0</v>
      </c>
      <c r="AY199"/>
      <c r="AZ199"/>
      <c r="BA199"/>
    </row>
    <row r="200" spans="1:53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t="s">
        <v>1887</v>
      </c>
      <c r="F200" t="str">
        <f>_xlfn.XLOOKUP(PROPERTIES[[#This Row],[COUNTRY]],COUNTRIES[COUNTRY_DESCRIPTION],COUNTRIES[COUNTRY_LABEL],"")</f>
        <v>RU</v>
      </c>
      <c r="G200" t="str" cm="1">
        <f t="array" ref="G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0" t="s">
        <v>19</v>
      </c>
      <c r="I200">
        <v>0</v>
      </c>
      <c r="J200">
        <v>8</v>
      </c>
      <c r="K200">
        <v>8</v>
      </c>
      <c r="L200" t="str" cm="1">
        <f t="array" ref="L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0">
        <f>_xlfn.XLOOKUP("LOADINGSPEEDDEF_"&amp;PROPERTIES[[#This Row],[LOADINGSPEED]],LOADINGSPEEDDEF[TYPE],LOADINGSPEEDDEF[SPEED])</f>
        <v>20</v>
      </c>
      <c r="N200" cm="1">
        <f t="array" ref="N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0">
        <f>IF(ISNUMBER(SEARCH("passenger",PROPERTIES[[#This Row],[CARGODEF]])),1,0)</f>
        <v>0</v>
      </c>
      <c r="P200" s="29">
        <v>130</v>
      </c>
      <c r="Q200">
        <v>2960</v>
      </c>
      <c r="R200">
        <v>160</v>
      </c>
      <c r="S200" s="26">
        <v>245</v>
      </c>
      <c r="T200" s="25">
        <f>IFERROR(PROPERTIES[[#This Row],[TE_STARTING_KN]]/(PROPERTIES[[#This Row],[WEIGHT]]*9.81),0)</f>
        <v>0.19211166000156826</v>
      </c>
      <c r="U200" s="25">
        <v>0.15</v>
      </c>
      <c r="V200" s="22">
        <f>ROUND(IF(IFERROR(PROPERTIES[[#This Row],[TE_COEFFICIENT_CALC]],0)=0,PROPERTIES[[#This Row],[TE_COEFFICIENT_MANUAL]],PROPERTIES[[#This Row],[TE_COEFFICIENT_CALC]]),3)</f>
        <v>0.192</v>
      </c>
      <c r="W200" s="10" cm="1">
        <f t="array" ref="W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00" s="32">
        <v>0</v>
      </c>
      <c r="Y200" s="8">
        <v>0</v>
      </c>
      <c r="Z200" t="s">
        <v>3514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8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9" t="b">
        <v>0</v>
      </c>
      <c r="AY200"/>
      <c r="AZ200"/>
      <c r="BA200"/>
    </row>
    <row r="201" spans="1:53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t="s">
        <v>1717</v>
      </c>
      <c r="F201" t="str">
        <f>_xlfn.XLOOKUP(PROPERTIES[[#This Row],[COUNTRY]],COUNTRIES[COUNTRY_DESCRIPTION],COUNTRIES[COUNTRY_LABEL],"")</f>
        <v>BE</v>
      </c>
      <c r="G201" t="str" cm="1">
        <f t="array" ref="G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1" t="s">
        <v>19</v>
      </c>
      <c r="I201">
        <v>0</v>
      </c>
      <c r="J201">
        <v>8</v>
      </c>
      <c r="K201">
        <v>8</v>
      </c>
      <c r="L201" t="str" cm="1">
        <f t="array" ref="L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1">
        <f>_xlfn.XLOOKUP("LOADINGSPEEDDEF_"&amp;PROPERTIES[[#This Row],[LOADINGSPEED]],LOADINGSPEEDDEF[TYPE],LOADINGSPEEDDEF[SPEED])</f>
        <v>20</v>
      </c>
      <c r="N201" cm="1">
        <f t="array" ref="N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1">
        <f>IF(ISNUMBER(SEARCH("passenger",PROPERTIES[[#This Row],[CARGODEF]])),1,0)</f>
        <v>0</v>
      </c>
      <c r="P201" s="29">
        <v>78.599999999999994</v>
      </c>
      <c r="Q201">
        <v>1380</v>
      </c>
      <c r="R201">
        <v>120</v>
      </c>
      <c r="S201" s="26">
        <v>212</v>
      </c>
      <c r="T201" s="25">
        <f>IFERROR(PROPERTIES[[#This Row],[TE_STARTING_KN]]/(PROPERTIES[[#This Row],[WEIGHT]]*9.81),0)</f>
        <v>0.27494403851291588</v>
      </c>
      <c r="U201" s="25">
        <v>0.27</v>
      </c>
      <c r="V201" s="22">
        <f>ROUND(IF(IFERROR(PROPERTIES[[#This Row],[TE_COEFFICIENT_CALC]],0)=0,PROPERTIES[[#This Row],[TE_COEFFICIENT_MANUAL]],PROPERTIES[[#This Row],[TE_COEFFICIENT_CALC]]),3)</f>
        <v>0.27500000000000002</v>
      </c>
      <c r="W201" s="10" cm="1">
        <f t="array" ref="W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201" s="32">
        <v>0</v>
      </c>
      <c r="Y201" s="8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8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9" t="b">
        <v>0</v>
      </c>
      <c r="AY201"/>
      <c r="AZ201"/>
      <c r="BA201"/>
    </row>
    <row r="202" spans="1:53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t="s">
        <v>1756</v>
      </c>
      <c r="F202" t="str">
        <f>_xlfn.XLOOKUP(PROPERTIES[[#This Row],[COUNTRY]],COUNTRIES[COUNTRY_DESCRIPTION],COUNTRIES[COUNTRY_LABEL],"")</f>
        <v>DK</v>
      </c>
      <c r="G202" t="str" cm="1">
        <f t="array" ref="G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2" t="s">
        <v>19</v>
      </c>
      <c r="I202">
        <v>0</v>
      </c>
      <c r="J202">
        <v>7</v>
      </c>
      <c r="K202">
        <v>7</v>
      </c>
      <c r="L202" t="str" cm="1">
        <f t="array" ref="L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2">
        <f>_xlfn.XLOOKUP("LOADINGSPEEDDEF_"&amp;PROPERTIES[[#This Row],[LOADINGSPEED]],LOADINGSPEEDDEF[TYPE],LOADINGSPEEDDEF[SPEED])</f>
        <v>20</v>
      </c>
      <c r="N202" cm="1">
        <f t="array" ref="N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2">
        <f>IF(ISNUMBER(SEARCH("passenger",PROPERTIES[[#This Row],[CARGODEF]])),1,0)</f>
        <v>0</v>
      </c>
      <c r="P202" s="29">
        <v>45</v>
      </c>
      <c r="Q202">
        <v>334</v>
      </c>
      <c r="R202">
        <v>60</v>
      </c>
      <c r="S202" s="26">
        <v>110</v>
      </c>
      <c r="T202" s="25">
        <f>IFERROR(PROPERTIES[[#This Row],[TE_STARTING_KN]]/(PROPERTIES[[#This Row],[WEIGHT]]*9.81),0)</f>
        <v>0.24917884245101368</v>
      </c>
      <c r="U202" s="25">
        <v>0.21</v>
      </c>
      <c r="V202" s="22">
        <f>ROUND(IF(IFERROR(PROPERTIES[[#This Row],[TE_COEFFICIENT_CALC]],0)=0,PROPERTIES[[#This Row],[TE_COEFFICIENT_MANUAL]],PROPERTIES[[#This Row],[TE_COEFFICIENT_CALC]]),3)</f>
        <v>0.249</v>
      </c>
      <c r="W202" s="10" cm="1">
        <f t="array" ref="W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02" s="32">
        <v>0</v>
      </c>
      <c r="Y202" s="8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8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9" t="b">
        <v>0</v>
      </c>
      <c r="AY202"/>
      <c r="AZ202"/>
      <c r="BA202"/>
    </row>
    <row r="203" spans="1:53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t="s">
        <v>1801</v>
      </c>
      <c r="F203" t="str">
        <f>_xlfn.XLOOKUP(PROPERTIES[[#This Row],[COUNTRY]],COUNTRIES[COUNTRY_DESCRIPTION],COUNTRIES[COUNTRY_LABEL],"")</f>
        <v>IN</v>
      </c>
      <c r="G203" t="str" cm="1">
        <f t="array" ref="G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3" t="s">
        <v>19</v>
      </c>
      <c r="I203">
        <v>0</v>
      </c>
      <c r="J203">
        <v>7</v>
      </c>
      <c r="K203">
        <v>7</v>
      </c>
      <c r="L203" t="str" cm="1">
        <f t="array" ref="L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3">
        <f>_xlfn.XLOOKUP("LOADINGSPEEDDEF_"&amp;PROPERTIES[[#This Row],[LOADINGSPEED]],LOADINGSPEEDDEF[TYPE],LOADINGSPEEDDEF[SPEED])</f>
        <v>20</v>
      </c>
      <c r="N203" cm="1">
        <f t="array" ref="N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3">
        <f>IF(ISNUMBER(SEARCH("passenger",PROPERTIES[[#This Row],[CARGODEF]])),1,0)</f>
        <v>0</v>
      </c>
      <c r="P203" s="29">
        <v>113</v>
      </c>
      <c r="Q203">
        <v>2400</v>
      </c>
      <c r="R203">
        <v>120</v>
      </c>
      <c r="S203" s="26">
        <v>300</v>
      </c>
      <c r="T203" s="25">
        <f>IFERROR(PROPERTIES[[#This Row],[TE_STARTING_KN]]/(PROPERTIES[[#This Row],[WEIGHT]]*9.81),0)</f>
        <v>0.27062867040134231</v>
      </c>
      <c r="U203" s="25">
        <v>0.27</v>
      </c>
      <c r="V203" s="22">
        <f>ROUND(IF(IFERROR(PROPERTIES[[#This Row],[TE_COEFFICIENT_CALC]],0)=0,PROPERTIES[[#This Row],[TE_COEFFICIENT_MANUAL]],PROPERTIES[[#This Row],[TE_COEFFICIENT_CALC]]),3)</f>
        <v>0.27100000000000002</v>
      </c>
      <c r="W203" s="10" cm="1">
        <f t="array" ref="W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03" s="32">
        <v>0</v>
      </c>
      <c r="Y203" s="8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8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9" t="b">
        <v>0</v>
      </c>
      <c r="AY203"/>
      <c r="AZ203"/>
      <c r="BA203"/>
    </row>
    <row r="204" spans="1:53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t="s">
        <v>1773</v>
      </c>
      <c r="F204" t="str">
        <f>_xlfn.XLOOKUP(PROPERTIES[[#This Row],[COUNTRY]],COUNTRIES[COUNTRY_DESCRIPTION],COUNTRIES[COUNTRY_LABEL],"")</f>
        <v>GB</v>
      </c>
      <c r="G204" t="str" cm="1">
        <f t="array" ref="G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4" t="s">
        <v>19</v>
      </c>
      <c r="I204">
        <v>0</v>
      </c>
      <c r="J204">
        <v>6</v>
      </c>
      <c r="K204">
        <v>6</v>
      </c>
      <c r="L204" t="str" cm="1">
        <f t="array" ref="L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4">
        <f>_xlfn.XLOOKUP("LOADINGSPEEDDEF_"&amp;PROPERTIES[[#This Row],[LOADINGSPEED]],LOADINGSPEEDDEF[TYPE],LOADINGSPEEDDEF[SPEED])</f>
        <v>20</v>
      </c>
      <c r="N204" cm="1">
        <f t="array" ref="N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4">
        <f>IF(ISNUMBER(SEARCH("passenger",PROPERTIES[[#This Row],[CARGODEF]])),1,0)</f>
        <v>0</v>
      </c>
      <c r="P204" s="29">
        <v>49</v>
      </c>
      <c r="Q204">
        <v>650</v>
      </c>
      <c r="R204">
        <v>64</v>
      </c>
      <c r="S204" s="26">
        <v>137.5</v>
      </c>
      <c r="T204" s="25">
        <f>IFERROR(PROPERTIES[[#This Row],[TE_STARTING_KN]]/(PROPERTIES[[#This Row],[WEIGHT]]*9.81),0)</f>
        <v>0.28604714056876573</v>
      </c>
      <c r="U204" s="25">
        <v>0.28000000000000003</v>
      </c>
      <c r="V204" s="22">
        <f>ROUND(IF(IFERROR(PROPERTIES[[#This Row],[TE_COEFFICIENT_CALC]],0)=0,PROPERTIES[[#This Row],[TE_COEFFICIENT_MANUAL]],PROPERTIES[[#This Row],[TE_COEFFICIENT_CALC]]),3)</f>
        <v>0.28599999999999998</v>
      </c>
      <c r="W204" s="10" cm="1">
        <f t="array" ref="W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4" s="32">
        <v>0</v>
      </c>
      <c r="Y204" s="8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8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9" t="b">
        <v>0</v>
      </c>
      <c r="AY204"/>
      <c r="AZ204"/>
      <c r="BA204"/>
    </row>
    <row r="205" spans="1:53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t="s">
        <v>1887</v>
      </c>
      <c r="F205" t="str">
        <f>_xlfn.XLOOKUP(PROPERTIES[[#This Row],[COUNTRY]],COUNTRIES[COUNTRY_DESCRIPTION],COUNTRIES[COUNTRY_LABEL],"")</f>
        <v>RU</v>
      </c>
      <c r="G205" t="str" cm="1">
        <f t="array" ref="G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5" t="s">
        <v>19</v>
      </c>
      <c r="I205">
        <v>0</v>
      </c>
      <c r="J205">
        <v>8</v>
      </c>
      <c r="K205">
        <v>8</v>
      </c>
      <c r="L205" t="str" cm="1">
        <f t="array" ref="L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5">
        <f>_xlfn.XLOOKUP("LOADINGSPEEDDEF_"&amp;PROPERTIES[[#This Row],[LOADINGSPEED]],LOADINGSPEEDDEF[TYPE],LOADINGSPEEDDEF[SPEED])</f>
        <v>20</v>
      </c>
      <c r="N205" cm="1">
        <f t="array" ref="N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5">
        <f>IF(ISNUMBER(SEARCH("passenger",PROPERTIES[[#This Row],[CARGODEF]])),1,0)</f>
        <v>0</v>
      </c>
      <c r="P205" s="29">
        <v>126</v>
      </c>
      <c r="Q205">
        <v>1250</v>
      </c>
      <c r="R205">
        <v>95</v>
      </c>
      <c r="S205" s="26">
        <v>362</v>
      </c>
      <c r="T205" s="25">
        <f>IFERROR(PROPERTIES[[#This Row],[TE_STARTING_KN]]/(PROPERTIES[[#This Row],[WEIGHT]]*9.81),0)</f>
        <v>0.29286604210151607</v>
      </c>
      <c r="U205" s="25">
        <v>0.28999999999999998</v>
      </c>
      <c r="V205" s="22">
        <f>ROUND(IF(IFERROR(PROPERTIES[[#This Row],[TE_COEFFICIENT_CALC]],0)=0,PROPERTIES[[#This Row],[TE_COEFFICIENT_MANUAL]],PROPERTIES[[#This Row],[TE_COEFFICIENT_CALC]]),3)</f>
        <v>0.29299999999999998</v>
      </c>
      <c r="W205" s="10" cm="1">
        <f t="array" ref="W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5" s="32">
        <v>0</v>
      </c>
      <c r="Y205" s="8">
        <v>0</v>
      </c>
      <c r="Z205" t="s">
        <v>3514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8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9" t="b">
        <v>0</v>
      </c>
      <c r="AY205"/>
      <c r="AZ205"/>
      <c r="BA205"/>
    </row>
    <row r="206" spans="1:53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t="s">
        <v>1707</v>
      </c>
      <c r="F206" t="str">
        <f>_xlfn.XLOOKUP(PROPERTIES[[#This Row],[COUNTRY]],COUNTRIES[COUNTRY_DESCRIPTION],COUNTRIES[COUNTRY_LABEL],"")</f>
        <v>AR</v>
      </c>
      <c r="G206" t="str" cm="1">
        <f t="array" ref="G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6" t="s">
        <v>19</v>
      </c>
      <c r="I206">
        <v>0</v>
      </c>
      <c r="J206">
        <v>8</v>
      </c>
      <c r="K206">
        <v>8</v>
      </c>
      <c r="L206" t="str" cm="1">
        <f t="array" ref="L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6">
        <f>_xlfn.XLOOKUP("LOADINGSPEEDDEF_"&amp;PROPERTIES[[#This Row],[LOADINGSPEED]],LOADINGSPEEDDEF[TYPE],LOADINGSPEEDDEF[SPEED])</f>
        <v>20</v>
      </c>
      <c r="N206" cm="1">
        <f t="array" ref="N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6">
        <f>IF(ISNUMBER(SEARCH("passenger",PROPERTIES[[#This Row],[CARGODEF]])),1,0)</f>
        <v>0</v>
      </c>
      <c r="P206" s="29">
        <v>112</v>
      </c>
      <c r="Q206">
        <v>1870</v>
      </c>
      <c r="R206">
        <v>120</v>
      </c>
      <c r="S206" s="26">
        <v>255</v>
      </c>
      <c r="T206" s="25">
        <f>IFERROR(PROPERTIES[[#This Row],[TE_STARTING_KN]]/(PROPERTIES[[#This Row],[WEIGHT]]*9.81),0)</f>
        <v>0.23208824814329401</v>
      </c>
      <c r="U206" s="25">
        <v>0.21</v>
      </c>
      <c r="V206" s="22">
        <f>ROUND(IF(IFERROR(PROPERTIES[[#This Row],[TE_COEFFICIENT_CALC]],0)=0,PROPERTIES[[#This Row],[TE_COEFFICIENT_MANUAL]],PROPERTIES[[#This Row],[TE_COEFFICIENT_CALC]]),3)</f>
        <v>0.23200000000000001</v>
      </c>
      <c r="W206" s="10" cm="1">
        <f t="array" ref="W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6" s="32">
        <v>0</v>
      </c>
      <c r="Y206" s="8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8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9" t="b">
        <v>0</v>
      </c>
      <c r="AY206"/>
      <c r="AZ206"/>
      <c r="BA206"/>
    </row>
    <row r="207" spans="1:53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t="s">
        <v>1887</v>
      </c>
      <c r="F207" t="str">
        <f>_xlfn.XLOOKUP(PROPERTIES[[#This Row],[COUNTRY]],COUNTRIES[COUNTRY_DESCRIPTION],COUNTRIES[COUNTRY_LABEL],"")</f>
        <v>RU</v>
      </c>
      <c r="G207" t="str" cm="1">
        <f t="array" ref="G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7" t="s">
        <v>19</v>
      </c>
      <c r="I207">
        <v>0</v>
      </c>
      <c r="J207">
        <v>8</v>
      </c>
      <c r="K207">
        <v>8</v>
      </c>
      <c r="L207" t="str" cm="1">
        <f t="array" ref="L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7">
        <f>_xlfn.XLOOKUP("LOADINGSPEEDDEF_"&amp;PROPERTIES[[#This Row],[LOADINGSPEED]],LOADINGSPEEDDEF[TYPE],LOADINGSPEEDDEF[SPEED])</f>
        <v>20</v>
      </c>
      <c r="N207" cm="1">
        <f t="array" ref="N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7">
        <f>IF(ISNUMBER(SEARCH("passenger",PROPERTIES[[#This Row],[CARGODEF]])),1,0)</f>
        <v>0</v>
      </c>
      <c r="P207" s="29">
        <v>116</v>
      </c>
      <c r="Q207">
        <v>1970</v>
      </c>
      <c r="R207">
        <v>100</v>
      </c>
      <c r="S207" s="26">
        <v>314</v>
      </c>
      <c r="T207" s="25">
        <f>IFERROR(PROPERTIES[[#This Row],[TE_STARTING_KN]]/(PROPERTIES[[#This Row],[WEIGHT]]*9.81),0)</f>
        <v>0.27593237020633415</v>
      </c>
      <c r="U207" s="25">
        <v>0.3</v>
      </c>
      <c r="V207" s="22">
        <f>ROUND(IF(IFERROR(PROPERTIES[[#This Row],[TE_COEFFICIENT_CALC]],0)=0,PROPERTIES[[#This Row],[TE_COEFFICIENT_MANUAL]],PROPERTIES[[#This Row],[TE_COEFFICIENT_CALC]]),3)</f>
        <v>0.27600000000000002</v>
      </c>
      <c r="W207" s="10" cm="1">
        <f t="array" ref="W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7" s="32">
        <v>0</v>
      </c>
      <c r="Y207" s="8">
        <v>0</v>
      </c>
      <c r="Z207" t="s">
        <v>3514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8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9" t="b">
        <v>0</v>
      </c>
      <c r="AY207"/>
      <c r="AZ207"/>
      <c r="BA207"/>
    </row>
    <row r="208" spans="1:53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t="s">
        <v>1710</v>
      </c>
      <c r="F208" t="str">
        <f>_xlfn.XLOOKUP(PROPERTIES[[#This Row],[COUNTRY]],COUNTRIES[COUNTRY_DESCRIPTION],COUNTRIES[COUNTRY_LABEL],"")</f>
        <v>AU</v>
      </c>
      <c r="G208" t="str" cm="1">
        <f t="array" ref="G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8" t="s">
        <v>19</v>
      </c>
      <c r="I208">
        <v>0</v>
      </c>
      <c r="J208">
        <v>8</v>
      </c>
      <c r="K208">
        <v>8</v>
      </c>
      <c r="L208" t="str" cm="1">
        <f t="array" ref="L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8">
        <f>_xlfn.XLOOKUP("LOADINGSPEEDDEF_"&amp;PROPERTIES[[#This Row],[LOADINGSPEED]],LOADINGSPEEDDEF[TYPE],LOADINGSPEEDDEF[SPEED])</f>
        <v>20</v>
      </c>
      <c r="N208" cm="1">
        <f t="array" ref="N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8">
        <f>IF(ISNUMBER(SEARCH("passenger",PROPERTIES[[#This Row],[CARGODEF]])),1,0)</f>
        <v>0</v>
      </c>
      <c r="P208" s="29">
        <v>110</v>
      </c>
      <c r="Q208">
        <v>2000</v>
      </c>
      <c r="R208">
        <v>124</v>
      </c>
      <c r="S208" s="26">
        <v>315.47000000000003</v>
      </c>
      <c r="T208" s="25">
        <f>IFERROR(PROPERTIES[[#This Row],[TE_STARTING_KN]]/(PROPERTIES[[#This Row],[WEIGHT]]*9.81),0)</f>
        <v>0.29234547307941799</v>
      </c>
      <c r="U208" s="25">
        <v>0.25</v>
      </c>
      <c r="V208" s="22">
        <f>ROUND(IF(IFERROR(PROPERTIES[[#This Row],[TE_COEFFICIENT_CALC]],0)=0,PROPERTIES[[#This Row],[TE_COEFFICIENT_MANUAL]],PROPERTIES[[#This Row],[TE_COEFFICIENT_CALC]]),3)</f>
        <v>0.29199999999999998</v>
      </c>
      <c r="W208" s="10" cm="1">
        <f t="array" ref="W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08" s="32">
        <v>0</v>
      </c>
      <c r="Y208" s="8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8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9" t="b">
        <v>0</v>
      </c>
      <c r="AY208"/>
      <c r="AZ208"/>
      <c r="BA208"/>
    </row>
    <row r="209" spans="1:53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t="s">
        <v>1762</v>
      </c>
      <c r="F209" t="str">
        <f>_xlfn.XLOOKUP(PROPERTIES[[#This Row],[COUNTRY]],COUNTRIES[COUNTRY_DESCRIPTION],COUNTRIES[COUNTRY_LABEL],"")</f>
        <v>EG</v>
      </c>
      <c r="G209" t="str" cm="1">
        <f t="array" ref="G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9" t="s">
        <v>19</v>
      </c>
      <c r="I209">
        <v>0</v>
      </c>
      <c r="J209">
        <v>8</v>
      </c>
      <c r="K209">
        <v>8</v>
      </c>
      <c r="L209" t="str" cm="1">
        <f t="array" ref="L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9">
        <f>_xlfn.XLOOKUP("LOADINGSPEEDDEF_"&amp;PROPERTIES[[#This Row],[LOADINGSPEED]],LOADINGSPEEDDEF[TYPE],LOADINGSPEEDDEF[SPEED])</f>
        <v>20</v>
      </c>
      <c r="N209" cm="1">
        <f t="array" ref="N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9">
        <f>IF(ISNUMBER(SEARCH("passenger",PROPERTIES[[#This Row],[CARGODEF]])),1,0)</f>
        <v>0</v>
      </c>
      <c r="P209" s="29">
        <v>108</v>
      </c>
      <c r="Q209">
        <v>1650</v>
      </c>
      <c r="R209">
        <v>110</v>
      </c>
      <c r="S209" s="26">
        <v>265</v>
      </c>
      <c r="T209" s="25">
        <f>IFERROR(PROPERTIES[[#This Row],[TE_STARTING_KN]]/(PROPERTIES[[#This Row],[WEIGHT]]*9.81),0)</f>
        <v>0.25012270170272211</v>
      </c>
      <c r="U209" s="25">
        <v>0.21</v>
      </c>
      <c r="V209" s="22">
        <f>ROUND(IF(IFERROR(PROPERTIES[[#This Row],[TE_COEFFICIENT_CALC]],0)=0,PROPERTIES[[#This Row],[TE_COEFFICIENT_MANUAL]],PROPERTIES[[#This Row],[TE_COEFFICIENT_CALC]]),3)</f>
        <v>0.25</v>
      </c>
      <c r="W209" s="10" cm="1">
        <f t="array" ref="W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9" s="32">
        <v>0</v>
      </c>
      <c r="Y209" s="8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8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9" t="b">
        <v>0</v>
      </c>
      <c r="AY209"/>
      <c r="AZ209"/>
      <c r="BA209"/>
    </row>
    <row r="210" spans="1:53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t="s">
        <v>1928</v>
      </c>
      <c r="F210" t="str">
        <f>_xlfn.XLOOKUP(PROPERTIES[[#This Row],[COUNTRY]],COUNTRIES[COUNTRY_DESCRIPTION],COUNTRIES[COUNTRY_LABEL],"")</f>
        <v>US</v>
      </c>
      <c r="G210" t="str" cm="1">
        <f t="array" ref="G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0" t="s">
        <v>19</v>
      </c>
      <c r="I210">
        <v>0</v>
      </c>
      <c r="J210">
        <v>8</v>
      </c>
      <c r="K210">
        <v>4</v>
      </c>
      <c r="L210" t="str" cm="1">
        <f t="array" ref="L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0">
        <f>_xlfn.XLOOKUP("LOADINGSPEEDDEF_"&amp;PROPERTIES[[#This Row],[LOADINGSPEED]],LOADINGSPEEDDEF[TYPE],LOADINGSPEEDDEF[SPEED])</f>
        <v>20</v>
      </c>
      <c r="N210" cm="1">
        <f t="array" ref="N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0">
        <f>IF(ISNUMBER(SEARCH("passenger",PROPERTIES[[#This Row],[CARGODEF]])),1,0)</f>
        <v>0</v>
      </c>
      <c r="P210" s="29">
        <v>247</v>
      </c>
      <c r="Q210">
        <v>6600</v>
      </c>
      <c r="R210">
        <v>144</v>
      </c>
      <c r="S210" s="26">
        <v>506.8</v>
      </c>
      <c r="T210" s="25">
        <f>IFERROR(PROPERTIES[[#This Row],[TE_STARTING_KN]]/(PROPERTIES[[#This Row],[WEIGHT]]*9.81),0)</f>
        <v>0.20915615314456454</v>
      </c>
      <c r="U210" s="25">
        <v>0.19</v>
      </c>
      <c r="V210" s="22">
        <f>ROUND(IF(IFERROR(PROPERTIES[[#This Row],[TE_COEFFICIENT_CALC]],0)=0,PROPERTIES[[#This Row],[TE_COEFFICIENT_MANUAL]],PROPERTIES[[#This Row],[TE_COEFFICIENT_CALC]]),3)</f>
        <v>0.20899999999999999</v>
      </c>
      <c r="W210" s="10" cm="1">
        <f t="array" ref="W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0" s="32">
        <v>0</v>
      </c>
      <c r="Y210" s="8">
        <v>2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8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9" t="b">
        <v>0</v>
      </c>
      <c r="AY210"/>
      <c r="AZ210"/>
      <c r="BA210"/>
    </row>
    <row r="211" spans="1:53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t="s">
        <v>1710</v>
      </c>
      <c r="F211" t="str">
        <f>_xlfn.XLOOKUP(PROPERTIES[[#This Row],[COUNTRY]],COUNTRIES[COUNTRY_DESCRIPTION],COUNTRIES[COUNTRY_LABEL],"")</f>
        <v>AU</v>
      </c>
      <c r="G211" t="str" cm="1">
        <f t="array" ref="G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1" t="s">
        <v>19</v>
      </c>
      <c r="I211">
        <v>0</v>
      </c>
      <c r="J211">
        <v>8</v>
      </c>
      <c r="K211">
        <v>8</v>
      </c>
      <c r="L211" t="str" cm="1">
        <f t="array" ref="L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1">
        <f>_xlfn.XLOOKUP("LOADINGSPEEDDEF_"&amp;PROPERTIES[[#This Row],[LOADINGSPEED]],LOADINGSPEEDDEF[TYPE],LOADINGSPEEDDEF[SPEED])</f>
        <v>20</v>
      </c>
      <c r="N211" t="str" cm="1">
        <f t="array" ref="N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1">
        <f>IF(ISNUMBER(SEARCH("passenger",PROPERTIES[[#This Row],[CARGODEF]])),1,0)</f>
        <v>0</v>
      </c>
      <c r="P211" s="29">
        <v>98</v>
      </c>
      <c r="Q211">
        <v>2000</v>
      </c>
      <c r="R211">
        <v>80</v>
      </c>
      <c r="S211" s="26">
        <v>286</v>
      </c>
      <c r="T211" s="25">
        <f>IFERROR(PROPERTIES[[#This Row],[TE_STARTING_KN]]/(PROPERTIES[[#This Row],[WEIGHT]]*9.81),0)</f>
        <v>0.29748902619151635</v>
      </c>
      <c r="U211" s="25">
        <v>0.28999999999999998</v>
      </c>
      <c r="V211" s="22">
        <f>ROUND(IF(IFERROR(PROPERTIES[[#This Row],[TE_COEFFICIENT_CALC]],0)=0,PROPERTIES[[#This Row],[TE_COEFFICIENT_MANUAL]],PROPERTIES[[#This Row],[TE_COEFFICIENT_CALC]]),3)</f>
        <v>0.29699999999999999</v>
      </c>
      <c r="W211" s="10" cm="1">
        <f t="array" ref="W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11" s="32">
        <v>0</v>
      </c>
      <c r="Y211" s="8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8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9" t="b">
        <v>0</v>
      </c>
      <c r="AY211"/>
      <c r="AZ211"/>
      <c r="BA211"/>
    </row>
    <row r="212" spans="1:53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t="s">
        <v>1794</v>
      </c>
      <c r="F212" t="str">
        <f>_xlfn.XLOOKUP(PROPERTIES[[#This Row],[COUNTRY]],COUNTRIES[COUNTRY_DESCRIPTION],COUNTRIES[COUNTRY_LABEL],"")</f>
        <v>HR</v>
      </c>
      <c r="G212" t="str" cm="1">
        <f t="array" ref="G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2" t="s">
        <v>19</v>
      </c>
      <c r="I212">
        <v>0</v>
      </c>
      <c r="J212">
        <v>8</v>
      </c>
      <c r="K212">
        <v>8</v>
      </c>
      <c r="L212" t="str" cm="1">
        <f t="array" ref="L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2">
        <f>_xlfn.XLOOKUP("LOADINGSPEEDDEF_"&amp;PROPERTIES[[#This Row],[LOADINGSPEED]],LOADINGSPEEDDEF[TYPE],LOADINGSPEEDDEF[SPEED])</f>
        <v>20</v>
      </c>
      <c r="N212" t="str" cm="1">
        <f t="array" ref="N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2">
        <f>IF(ISNUMBER(SEARCH("passenger",PROPERTIES[[#This Row],[CARGODEF]])),1,0)</f>
        <v>0</v>
      </c>
      <c r="P212" s="29">
        <v>103</v>
      </c>
      <c r="Q212">
        <v>2200</v>
      </c>
      <c r="R212">
        <v>124</v>
      </c>
      <c r="S212" s="26">
        <v>0</v>
      </c>
      <c r="T212" s="25">
        <f>IFERROR(PROPERTIES[[#This Row],[TE_STARTING_KN]]/(PROPERTIES[[#This Row],[WEIGHT]]*9.81),0)</f>
        <v>0</v>
      </c>
      <c r="U212" s="25">
        <v>0.26</v>
      </c>
      <c r="V212" s="22">
        <f>ROUND(IF(IFERROR(PROPERTIES[[#This Row],[TE_COEFFICIENT_CALC]],0)=0,PROPERTIES[[#This Row],[TE_COEFFICIENT_MANUAL]],PROPERTIES[[#This Row],[TE_COEFFICIENT_CALC]]),3)</f>
        <v>0.26</v>
      </c>
      <c r="W212" s="10" cm="1">
        <f t="array" ref="W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212" s="32">
        <v>0</v>
      </c>
      <c r="Y212" s="8">
        <v>0</v>
      </c>
      <c r="Z212" t="s">
        <v>875</v>
      </c>
      <c r="AA212" t="s">
        <v>872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8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9" t="b">
        <v>0</v>
      </c>
      <c r="AY212"/>
      <c r="AZ212"/>
      <c r="BA212"/>
    </row>
    <row r="213" spans="1:53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t="s">
        <v>1893</v>
      </c>
      <c r="F213" t="str">
        <f>_xlfn.XLOOKUP(PROPERTIES[[#This Row],[COUNTRY]],COUNTRIES[COUNTRY_DESCRIPTION],COUNTRIES[COUNTRY_LABEL],"")</f>
        <v>SE</v>
      </c>
      <c r="G213" t="str" cm="1">
        <f t="array" ref="G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3" t="s">
        <v>19</v>
      </c>
      <c r="I213">
        <v>0</v>
      </c>
      <c r="J213">
        <v>6</v>
      </c>
      <c r="K213">
        <v>6</v>
      </c>
      <c r="L213" t="str" cm="1">
        <f t="array" ref="L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3">
        <f>_xlfn.XLOOKUP("LOADINGSPEEDDEF_"&amp;PROPERTIES[[#This Row],[LOADINGSPEED]],LOADINGSPEEDDEF[TYPE],LOADINGSPEEDDEF[SPEED])</f>
        <v>20</v>
      </c>
      <c r="N213" cm="1">
        <f t="array" ref="N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3">
        <f>IF(ISNUMBER(SEARCH("passenger",PROPERTIES[[#This Row],[CARGODEF]])),1,0)</f>
        <v>0</v>
      </c>
      <c r="P213" s="29">
        <v>46</v>
      </c>
      <c r="Q213">
        <v>620</v>
      </c>
      <c r="R213">
        <v>70</v>
      </c>
      <c r="S213" s="26">
        <v>0</v>
      </c>
      <c r="T213" s="25">
        <f>IFERROR(PROPERTIES[[#This Row],[TE_STARTING_KN]]/(PROPERTIES[[#This Row],[WEIGHT]]*9.81),0)</f>
        <v>0</v>
      </c>
      <c r="U213" s="25">
        <v>0.3</v>
      </c>
      <c r="V213" s="22">
        <f>ROUND(IF(IFERROR(PROPERTIES[[#This Row],[TE_COEFFICIENT_CALC]],0)=0,PROPERTIES[[#This Row],[TE_COEFFICIENT_MANUAL]],PROPERTIES[[#This Row],[TE_COEFFICIENT_CALC]]),3)</f>
        <v>0.3</v>
      </c>
      <c r="W213" s="10" cm="1">
        <f t="array" ref="W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3" s="32">
        <v>0</v>
      </c>
      <c r="Y213" s="8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8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9" t="b">
        <v>0</v>
      </c>
      <c r="AY213"/>
      <c r="AZ213"/>
      <c r="BA213"/>
    </row>
    <row r="214" spans="1:53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t="s">
        <v>1735</v>
      </c>
      <c r="F214" t="str">
        <f>_xlfn.XLOOKUP(PROPERTIES[[#This Row],[COUNTRY]],COUNTRIES[COUNTRY_DESCRIPTION],COUNTRIES[COUNTRY_LABEL],"")</f>
        <v>CA</v>
      </c>
      <c r="G214" t="str" cm="1">
        <f t="array" ref="G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4" t="s">
        <v>19</v>
      </c>
      <c r="I214">
        <v>0</v>
      </c>
      <c r="J214">
        <v>8</v>
      </c>
      <c r="K214">
        <v>8</v>
      </c>
      <c r="L214" t="str" cm="1">
        <f t="array" ref="L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4">
        <f>_xlfn.XLOOKUP("LOADINGSPEEDDEF_"&amp;PROPERTIES[[#This Row],[LOADINGSPEED]],LOADINGSPEEDDEF[TYPE],LOADINGSPEEDDEF[SPEED])</f>
        <v>20</v>
      </c>
      <c r="N214" cm="1">
        <f t="array" ref="N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4">
        <f>IF(ISNUMBER(SEARCH("passenger",PROPERTIES[[#This Row],[CARGODEF]])),1,0)</f>
        <v>0</v>
      </c>
      <c r="P214" s="29">
        <v>125</v>
      </c>
      <c r="Q214">
        <v>2000</v>
      </c>
      <c r="R214">
        <v>108</v>
      </c>
      <c r="S214" s="26">
        <v>268.67</v>
      </c>
      <c r="T214" s="25">
        <f>IFERROR(PROPERTIES[[#This Row],[TE_STARTING_KN]]/(PROPERTIES[[#This Row],[WEIGHT]]*9.81),0)</f>
        <v>0.21909887869520897</v>
      </c>
      <c r="U214" s="25">
        <v>0.13</v>
      </c>
      <c r="V214" s="22">
        <f>ROUND(IF(IFERROR(PROPERTIES[[#This Row],[TE_COEFFICIENT_CALC]],0)=0,PROPERTIES[[#This Row],[TE_COEFFICIENT_MANUAL]],PROPERTIES[[#This Row],[TE_COEFFICIENT_CALC]]),3)</f>
        <v>0.219</v>
      </c>
      <c r="W214" s="10" cm="1">
        <f t="array" ref="W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4" s="32">
        <v>0</v>
      </c>
      <c r="Y214" s="8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8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9" t="b">
        <v>0</v>
      </c>
      <c r="AY214"/>
      <c r="AZ214"/>
      <c r="BA214"/>
    </row>
    <row r="215" spans="1:53">
      <c r="A215" s="2" t="s">
        <v>892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t="s">
        <v>1928</v>
      </c>
      <c r="F215" t="str">
        <f>_xlfn.XLOOKUP(PROPERTIES[[#This Row],[COUNTRY]],COUNTRIES[COUNTRY_DESCRIPTION],COUNTRIES[COUNTRY_LABEL],"")</f>
        <v>US</v>
      </c>
      <c r="G215" t="str" cm="1">
        <f t="array" ref="G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5" t="s">
        <v>19</v>
      </c>
      <c r="I215">
        <v>0</v>
      </c>
      <c r="J215">
        <v>8</v>
      </c>
      <c r="K215">
        <v>8</v>
      </c>
      <c r="L215" t="str" cm="1">
        <f t="array" ref="L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5">
        <f>_xlfn.XLOOKUP("LOADINGSPEEDDEF_"&amp;PROPERTIES[[#This Row],[LOADINGSPEED]],LOADINGSPEEDDEF[TYPE],LOADINGSPEEDDEF[SPEED])</f>
        <v>20</v>
      </c>
      <c r="N215" cm="1">
        <f t="array" ref="N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5">
        <f>IF(ISNUMBER(SEARCH("passenger",PROPERTIES[[#This Row],[CARGODEF]])),1,0)</f>
        <v>0</v>
      </c>
      <c r="P215" s="29">
        <v>131</v>
      </c>
      <c r="Q215">
        <v>3000</v>
      </c>
      <c r="R215">
        <v>153</v>
      </c>
      <c r="S215" s="26">
        <v>289</v>
      </c>
      <c r="T215" s="25">
        <f>IFERROR(PROPERTIES[[#This Row],[TE_STARTING_KN]]/(PROPERTIES[[#This Row],[WEIGHT]]*9.81),0)</f>
        <v>0.22488347301009251</v>
      </c>
      <c r="U215" s="25">
        <v>0.15</v>
      </c>
      <c r="V215" s="22">
        <f>ROUND(IF(IFERROR(PROPERTIES[[#This Row],[TE_COEFFICIENT_CALC]],0)=0,PROPERTIES[[#This Row],[TE_COEFFICIENT_MANUAL]],PROPERTIES[[#This Row],[TE_COEFFICIENT_CALC]]),3)</f>
        <v>0.22500000000000001</v>
      </c>
      <c r="W215" s="10" cm="1">
        <f t="array" ref="W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5" s="32">
        <v>0</v>
      </c>
      <c r="Y215" s="8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8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9" t="b">
        <v>0</v>
      </c>
      <c r="AY215"/>
      <c r="AZ215"/>
      <c r="BA215"/>
    </row>
    <row r="216" spans="1:53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t="s">
        <v>1745</v>
      </c>
      <c r="F216" t="str">
        <f>_xlfn.XLOOKUP(PROPERTIES[[#This Row],[COUNTRY]],COUNTRIES[COUNTRY_DESCRIPTION],COUNTRIES[COUNTRY_LABEL],"")</f>
        <v>CN</v>
      </c>
      <c r="G216" t="str" cm="1">
        <f t="array" ref="G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6" t="s">
        <v>19</v>
      </c>
      <c r="I216">
        <v>0</v>
      </c>
      <c r="J216">
        <v>7</v>
      </c>
      <c r="K216">
        <v>7</v>
      </c>
      <c r="L216" t="str" cm="1">
        <f t="array" ref="L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6">
        <f>_xlfn.XLOOKUP("LOADINGSPEEDDEF_"&amp;PROPERTIES[[#This Row],[LOADINGSPEED]],LOADINGSPEEDDEF[TYPE],LOADINGSPEEDDEF[SPEED])</f>
        <v>20</v>
      </c>
      <c r="N216" cm="1">
        <f t="array" ref="N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6">
        <f>IF(ISNUMBER(SEARCH("passenger",PROPERTIES[[#This Row],[CARGODEF]])),1,0)</f>
        <v>0</v>
      </c>
      <c r="P216" s="29">
        <v>92</v>
      </c>
      <c r="Q216">
        <v>2200</v>
      </c>
      <c r="R216">
        <v>120</v>
      </c>
      <c r="S216" s="26">
        <v>271</v>
      </c>
      <c r="T216" s="25">
        <f>IFERROR(PROPERTIES[[#This Row],[TE_STARTING_KN]]/(PROPERTIES[[#This Row],[WEIGHT]]*9.81),0)</f>
        <v>0.30027035411957625</v>
      </c>
      <c r="U216" s="25">
        <v>0.28999999999999998</v>
      </c>
      <c r="V216" s="22">
        <f>ROUND(IF(IFERROR(PROPERTIES[[#This Row],[TE_COEFFICIENT_CALC]],0)=0,PROPERTIES[[#This Row],[TE_COEFFICIENT_MANUAL]],PROPERTIES[[#This Row],[TE_COEFFICIENT_CALC]]),3)</f>
        <v>0.3</v>
      </c>
      <c r="W216" s="10" cm="1">
        <f t="array" ref="W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6" s="32">
        <v>0</v>
      </c>
      <c r="Y216" s="8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8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9" t="b">
        <v>0</v>
      </c>
      <c r="AY216"/>
      <c r="AZ216"/>
      <c r="BA216"/>
    </row>
    <row r="217" spans="1:53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t="s">
        <v>1869</v>
      </c>
      <c r="F217" t="str">
        <f>_xlfn.XLOOKUP(PROPERTIES[[#This Row],[COUNTRY]],COUNTRIES[COUNTRY_DESCRIPTION],COUNTRIES[COUNTRY_LABEL],"")</f>
        <v>PA</v>
      </c>
      <c r="G217" t="str" cm="1">
        <f t="array" ref="G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7" t="s">
        <v>19</v>
      </c>
      <c r="I217">
        <v>0</v>
      </c>
      <c r="J217">
        <v>7</v>
      </c>
      <c r="K217">
        <v>7</v>
      </c>
      <c r="L217" t="str" cm="1">
        <f t="array" ref="L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7">
        <f>_xlfn.XLOOKUP("LOADINGSPEEDDEF_"&amp;PROPERTIES[[#This Row],[LOADINGSPEED]],LOADINGSPEEDDEF[TYPE],LOADINGSPEEDDEF[SPEED])</f>
        <v>20</v>
      </c>
      <c r="N217" t="str" cm="1">
        <f t="array" ref="N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7">
        <f>IF(ISNUMBER(SEARCH("passenger",PROPERTIES[[#This Row],[CARGODEF]])),1,0)</f>
        <v>0</v>
      </c>
      <c r="P217" s="29">
        <v>115</v>
      </c>
      <c r="Q217">
        <v>3000</v>
      </c>
      <c r="R217">
        <v>165</v>
      </c>
      <c r="S217" s="26">
        <v>289</v>
      </c>
      <c r="T217" s="25">
        <f>IFERROR(PROPERTIES[[#This Row],[TE_STARTING_KN]]/(PROPERTIES[[#This Row],[WEIGHT]]*9.81),0)</f>
        <v>0.2561716083854097</v>
      </c>
      <c r="U217" s="25">
        <v>0.1</v>
      </c>
      <c r="V217" s="22">
        <f>ROUND(IF(IFERROR(PROPERTIES[[#This Row],[TE_COEFFICIENT_CALC]],0)=0,PROPERTIES[[#This Row],[TE_COEFFICIENT_MANUAL]],PROPERTIES[[#This Row],[TE_COEFFICIENT_CALC]]),3)</f>
        <v>0.25600000000000001</v>
      </c>
      <c r="W217" s="10" cm="1">
        <f t="array" ref="W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17" s="32">
        <v>0</v>
      </c>
      <c r="Y217" s="8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8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9" t="b">
        <v>0</v>
      </c>
      <c r="AY217"/>
      <c r="AZ217"/>
      <c r="BA217"/>
    </row>
    <row r="218" spans="1:53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t="s">
        <v>1880</v>
      </c>
      <c r="F218" t="str">
        <f>_xlfn.XLOOKUP(PROPERTIES[[#This Row],[COUNTRY]],COUNTRIES[COUNTRY_DESCRIPTION],COUNTRIES[COUNTRY_LABEL],"")</f>
        <v>PT</v>
      </c>
      <c r="G218" t="str" cm="1">
        <f t="array" ref="G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8" t="s">
        <v>19</v>
      </c>
      <c r="I218">
        <v>0</v>
      </c>
      <c r="J218">
        <v>8</v>
      </c>
      <c r="K218">
        <v>8</v>
      </c>
      <c r="L218" t="str" cm="1">
        <f t="array" ref="L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8">
        <f>_xlfn.XLOOKUP("LOADINGSPEEDDEF_"&amp;PROPERTIES[[#This Row],[LOADINGSPEED]],LOADINGSPEEDDEF[TYPE],LOADINGSPEEDDEF[SPEED])</f>
        <v>20</v>
      </c>
      <c r="N218" cm="1">
        <f t="array" ref="N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8">
        <f>IF(ISNUMBER(SEARCH("passenger",PROPERTIES[[#This Row],[CARGODEF]])),1,0)</f>
        <v>0</v>
      </c>
      <c r="P218" s="29">
        <v>115</v>
      </c>
      <c r="Q218">
        <v>2260</v>
      </c>
      <c r="R218">
        <v>100</v>
      </c>
      <c r="S218" s="26">
        <v>388.3</v>
      </c>
      <c r="T218" s="25">
        <f>IFERROR(PROPERTIES[[#This Row],[TE_STARTING_KN]]/(PROPERTIES[[#This Row],[WEIGHT]]*9.81),0)</f>
        <v>0.34419181846385671</v>
      </c>
      <c r="U218" s="25">
        <v>0.34</v>
      </c>
      <c r="V218" s="22">
        <f>ROUND(IF(IFERROR(PROPERTIES[[#This Row],[TE_COEFFICIENT_CALC]],0)=0,PROPERTIES[[#This Row],[TE_COEFFICIENT_MANUAL]],PROPERTIES[[#This Row],[TE_COEFFICIENT_CALC]]),3)</f>
        <v>0.34399999999999997</v>
      </c>
      <c r="W218" s="10" cm="1">
        <f t="array" ref="W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8" s="32">
        <v>0</v>
      </c>
      <c r="Y218" s="8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8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9" t="b">
        <v>0</v>
      </c>
      <c r="AY218"/>
      <c r="AZ218"/>
      <c r="BA218"/>
    </row>
    <row r="219" spans="1:53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t="s">
        <v>1767</v>
      </c>
      <c r="F219" t="str">
        <f>_xlfn.XLOOKUP(PROPERTIES[[#This Row],[COUNTRY]],COUNTRIES[COUNTRY_DESCRIPTION],COUNTRIES[COUNTRY_LABEL],"")</f>
        <v>FI</v>
      </c>
      <c r="G219" t="str" cm="1">
        <f t="array" ref="G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9" t="s">
        <v>19</v>
      </c>
      <c r="I219">
        <v>0</v>
      </c>
      <c r="J219">
        <v>8</v>
      </c>
      <c r="K219">
        <v>8</v>
      </c>
      <c r="L219" t="str" cm="1">
        <f t="array" ref="L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9">
        <f>_xlfn.XLOOKUP("LOADINGSPEEDDEF_"&amp;PROPERTIES[[#This Row],[LOADINGSPEED]],LOADINGSPEEDDEF[TYPE],LOADINGSPEEDDEF[SPEED])</f>
        <v>20</v>
      </c>
      <c r="N219" t="str" cm="1">
        <f t="array" ref="N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9">
        <f>IF(ISNUMBER(SEARCH("passenger",PROPERTIES[[#This Row],[CARGODEF]])),1,0)</f>
        <v>0</v>
      </c>
      <c r="P219" s="29">
        <v>82</v>
      </c>
      <c r="Q219">
        <v>2250</v>
      </c>
      <c r="R219">
        <v>140</v>
      </c>
      <c r="S219" s="26">
        <v>270</v>
      </c>
      <c r="T219" s="25">
        <f>IFERROR(PROPERTIES[[#This Row],[TE_STARTING_KN]]/(PROPERTIES[[#This Row],[WEIGHT]]*9.81),0)</f>
        <v>0.33564555829044523</v>
      </c>
      <c r="U219" s="25">
        <v>0.33</v>
      </c>
      <c r="V219" s="22">
        <f>ROUND(IF(IFERROR(PROPERTIES[[#This Row],[TE_COEFFICIENT_CALC]],0)=0,PROPERTIES[[#This Row],[TE_COEFFICIENT_MANUAL]],PROPERTIES[[#This Row],[TE_COEFFICIENT_CALC]]),3)</f>
        <v>0.33600000000000002</v>
      </c>
      <c r="W219" s="10" cm="1">
        <f t="array" ref="W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9" s="32">
        <v>0</v>
      </c>
      <c r="Y219" s="8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8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9" t="b">
        <v>0</v>
      </c>
      <c r="AY219"/>
      <c r="AZ219"/>
      <c r="BA219"/>
    </row>
    <row r="220" spans="1:53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t="s">
        <v>1887</v>
      </c>
      <c r="F220" t="str">
        <f>_xlfn.XLOOKUP(PROPERTIES[[#This Row],[COUNTRY]],COUNTRIES[COUNTRY_DESCRIPTION],COUNTRIES[COUNTRY_LABEL],"")</f>
        <v>RU</v>
      </c>
      <c r="G220" t="str" cm="1">
        <f t="array" ref="G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0" t="s">
        <v>19</v>
      </c>
      <c r="I220">
        <v>0</v>
      </c>
      <c r="J220">
        <v>8</v>
      </c>
      <c r="K220">
        <v>8</v>
      </c>
      <c r="L220" t="str" cm="1">
        <f t="array" ref="L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0">
        <f>_xlfn.XLOOKUP("LOADINGSPEEDDEF_"&amp;PROPERTIES[[#This Row],[LOADINGSPEED]],LOADINGSPEEDDEF[TYPE],LOADINGSPEEDDEF[SPEED])</f>
        <v>20</v>
      </c>
      <c r="N220" t="str" cm="1">
        <f t="array" ref="N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0">
        <f>IF(ISNUMBER(SEARCH("passenger",PROPERTIES[[#This Row],[CARGODEF]])),1,0)</f>
        <v>0</v>
      </c>
      <c r="P220" s="29">
        <v>180</v>
      </c>
      <c r="Q220">
        <v>6000</v>
      </c>
      <c r="R220">
        <v>160</v>
      </c>
      <c r="S220" s="26">
        <v>240</v>
      </c>
      <c r="T220" s="25">
        <f>IFERROR(PROPERTIES[[#This Row],[TE_STARTING_KN]]/(PROPERTIES[[#This Row],[WEIGHT]]*9.81),0)</f>
        <v>0.13591573224600745</v>
      </c>
      <c r="U220" s="25">
        <v>0.13</v>
      </c>
      <c r="V220" s="22">
        <f>ROUND(IF(IFERROR(PROPERTIES[[#This Row],[TE_COEFFICIENT_CALC]],0)=0,PROPERTIES[[#This Row],[TE_COEFFICIENT_MANUAL]],PROPERTIES[[#This Row],[TE_COEFFICIENT_CALC]]),3)</f>
        <v>0.13600000000000001</v>
      </c>
      <c r="W220" s="10" cm="1">
        <f t="array" ref="W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0" s="32">
        <v>0</v>
      </c>
      <c r="Y220" s="8">
        <v>0</v>
      </c>
      <c r="Z220" t="s">
        <v>3514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8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9" t="b">
        <v>0</v>
      </c>
      <c r="AY220"/>
      <c r="AZ220"/>
      <c r="BA220"/>
    </row>
    <row r="221" spans="1:53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t="s">
        <v>1710</v>
      </c>
      <c r="F221" t="str">
        <f>_xlfn.XLOOKUP(PROPERTIES[[#This Row],[COUNTRY]],COUNTRIES[COUNTRY_DESCRIPTION],COUNTRIES[COUNTRY_LABEL],"")</f>
        <v>AU</v>
      </c>
      <c r="G221" t="str" cm="1">
        <f t="array" ref="G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1" t="s">
        <v>19</v>
      </c>
      <c r="I221">
        <v>0</v>
      </c>
      <c r="J221">
        <v>8</v>
      </c>
      <c r="K221">
        <v>8</v>
      </c>
      <c r="L221" t="str" cm="1">
        <f t="array" ref="L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1">
        <f>_xlfn.XLOOKUP("LOADINGSPEEDDEF_"&amp;PROPERTIES[[#This Row],[LOADINGSPEED]],LOADINGSPEEDDEF[TYPE],LOADINGSPEEDDEF[SPEED])</f>
        <v>20</v>
      </c>
      <c r="N221" t="str" cm="1">
        <f t="array" ref="N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1">
        <f>IF(ISNUMBER(SEARCH("passenger",PROPERTIES[[#This Row],[CARGODEF]])),1,0)</f>
        <v>0</v>
      </c>
      <c r="P221" s="29">
        <v>128</v>
      </c>
      <c r="Q221">
        <v>4063</v>
      </c>
      <c r="R221">
        <v>150</v>
      </c>
      <c r="S221" s="26">
        <v>323</v>
      </c>
      <c r="T221" s="25">
        <f>IFERROR(PROPERTIES[[#This Row],[TE_STARTING_KN]]/(PROPERTIES[[#This Row],[WEIGHT]]*9.81),0)</f>
        <v>0.25723114169215083</v>
      </c>
      <c r="U221" s="25">
        <v>0.25</v>
      </c>
      <c r="V221" s="22">
        <f>ROUND(IF(IFERROR(PROPERTIES[[#This Row],[TE_COEFFICIENT_CALC]],0)=0,PROPERTIES[[#This Row],[TE_COEFFICIENT_MANUAL]],PROPERTIES[[#This Row],[TE_COEFFICIENT_CALC]]),3)</f>
        <v>0.25700000000000001</v>
      </c>
      <c r="W221" s="10" cm="1">
        <f t="array" ref="W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1" s="32">
        <v>0</v>
      </c>
      <c r="Y221" s="8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8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9" t="b">
        <v>0</v>
      </c>
      <c r="AY221"/>
      <c r="AZ221"/>
      <c r="BA221"/>
    </row>
    <row r="222" spans="1:53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t="s">
        <v>1928</v>
      </c>
      <c r="F222" t="str">
        <f>_xlfn.XLOOKUP(PROPERTIES[[#This Row],[COUNTRY]],COUNTRIES[COUNTRY_DESCRIPTION],COUNTRIES[COUNTRY_LABEL],"")</f>
        <v>US</v>
      </c>
      <c r="G222" t="str" cm="1">
        <f t="array" ref="G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2" t="s">
        <v>19</v>
      </c>
      <c r="I222">
        <v>0</v>
      </c>
      <c r="J222">
        <v>8</v>
      </c>
      <c r="K222">
        <v>8</v>
      </c>
      <c r="L222" t="str" cm="1">
        <f t="array" ref="L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2">
        <f>_xlfn.XLOOKUP("LOADINGSPEEDDEF_"&amp;PROPERTIES[[#This Row],[LOADINGSPEED]],LOADINGSPEEDDEF[TYPE],LOADINGSPEEDDEF[SPEED])</f>
        <v>20</v>
      </c>
      <c r="N222" t="str" cm="1">
        <f t="array" ref="N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2">
        <f>IF(ISNUMBER(SEARCH("passenger",PROPERTIES[[#This Row],[CARGODEF]])),1,0)</f>
        <v>0</v>
      </c>
      <c r="P222" s="29">
        <v>121.6</v>
      </c>
      <c r="Q222">
        <v>4250</v>
      </c>
      <c r="R222">
        <v>177</v>
      </c>
      <c r="S222" s="26">
        <v>280.25</v>
      </c>
      <c r="T222" s="25">
        <f>IFERROR(PROPERTIES[[#This Row],[TE_STARTING_KN]]/(PROPERTIES[[#This Row],[WEIGHT]]*9.81),0)</f>
        <v>0.23493246687054029</v>
      </c>
      <c r="U222" s="25">
        <v>0.19</v>
      </c>
      <c r="V222" s="22">
        <f>ROUND(IF(IFERROR(PROPERTIES[[#This Row],[TE_COEFFICIENT_CALC]],0)=0,PROPERTIES[[#This Row],[TE_COEFFICIENT_MANUAL]],PROPERTIES[[#This Row],[TE_COEFFICIENT_CALC]]),3)</f>
        <v>0.23499999999999999</v>
      </c>
      <c r="W222" s="10" cm="1">
        <f t="array" ref="W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2" s="32">
        <v>0</v>
      </c>
      <c r="Y222" s="8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8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9" t="b">
        <v>0</v>
      </c>
      <c r="AY222"/>
      <c r="AZ222"/>
      <c r="BA222"/>
    </row>
    <row r="223" spans="1:53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t="s">
        <v>2199</v>
      </c>
      <c r="F223" t="str">
        <f>_xlfn.XLOOKUP(PROPERTIES[[#This Row],[COUNTRY]],COUNTRIES[COUNTRY_DESCRIPTION],COUNTRIES[COUNTRY_LABEL],"")</f>
        <v>TR</v>
      </c>
      <c r="G223" t="str" cm="1">
        <f t="array" ref="G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3" t="s">
        <v>19</v>
      </c>
      <c r="I223">
        <v>0</v>
      </c>
      <c r="J223">
        <v>6</v>
      </c>
      <c r="K223">
        <v>6</v>
      </c>
      <c r="L223" t="str" cm="1">
        <f t="array" ref="L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3">
        <f>_xlfn.XLOOKUP("LOADINGSPEEDDEF_"&amp;PROPERTIES[[#This Row],[LOADINGSPEED]],LOADINGSPEEDDEF[TYPE],LOADINGSPEEDDEF[SPEED])</f>
        <v>20</v>
      </c>
      <c r="N223" t="str" cm="1">
        <f t="array" ref="N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3">
        <f>IF(ISNUMBER(SEARCH("passenger",PROPERTIES[[#This Row],[CARGODEF]])),1,0)</f>
        <v>0</v>
      </c>
      <c r="P223" s="29">
        <v>51</v>
      </c>
      <c r="Q223">
        <v>700</v>
      </c>
      <c r="R223">
        <v>40</v>
      </c>
      <c r="S223" s="26">
        <v>0</v>
      </c>
      <c r="T223" s="25">
        <f>IFERROR(PROPERTIES[[#This Row],[TE_STARTING_KN]]/(PROPERTIES[[#This Row],[WEIGHT]]*9.81),0)</f>
        <v>0</v>
      </c>
      <c r="U223" s="25">
        <v>0.28000000000000003</v>
      </c>
      <c r="V223" s="22">
        <f>ROUND(IF(IFERROR(PROPERTIES[[#This Row],[TE_COEFFICIENT_CALC]],0)=0,PROPERTIES[[#This Row],[TE_COEFFICIENT_MANUAL]],PROPERTIES[[#This Row],[TE_COEFFICIENT_CALC]]),3)</f>
        <v>0.28000000000000003</v>
      </c>
      <c r="W223" s="10" cm="1">
        <f t="array" ref="W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3" s="32">
        <v>0</v>
      </c>
      <c r="Y223" s="8">
        <v>0</v>
      </c>
      <c r="Z223" t="s">
        <v>3514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8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9" t="b">
        <v>0</v>
      </c>
      <c r="AY223"/>
      <c r="AZ223"/>
      <c r="BA223"/>
    </row>
    <row r="224" spans="1:53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t="s">
        <v>1707</v>
      </c>
      <c r="F224" t="str">
        <f>_xlfn.XLOOKUP(PROPERTIES[[#This Row],[COUNTRY]],COUNTRIES[COUNTRY_DESCRIPTION],COUNTRIES[COUNTRY_LABEL],"")</f>
        <v>AR</v>
      </c>
      <c r="G224" t="str" cm="1">
        <f t="array" ref="G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4" t="s">
        <v>19</v>
      </c>
      <c r="I224">
        <v>0</v>
      </c>
      <c r="J224">
        <v>8</v>
      </c>
      <c r="K224">
        <v>8</v>
      </c>
      <c r="L224" t="str" cm="1">
        <f t="array" ref="L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4">
        <f>_xlfn.XLOOKUP("LOADINGSPEEDDEF_"&amp;PROPERTIES[[#This Row],[LOADINGSPEED]],LOADINGSPEEDDEF[TYPE],LOADINGSPEEDDEF[SPEED])</f>
        <v>20</v>
      </c>
      <c r="N224" t="str" cm="1">
        <f t="array" ref="N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4">
        <f>IF(ISNUMBER(SEARCH("passenger",PROPERTIES[[#This Row],[CARGODEF]])),1,0)</f>
        <v>0</v>
      </c>
      <c r="P224" s="29">
        <v>96</v>
      </c>
      <c r="Q224">
        <v>2150</v>
      </c>
      <c r="R224">
        <v>104</v>
      </c>
      <c r="S224" s="26">
        <v>245</v>
      </c>
      <c r="T224" s="25">
        <f>IFERROR(PROPERTIES[[#This Row],[TE_STARTING_KN]]/(PROPERTIES[[#This Row],[WEIGHT]]*9.81),0)</f>
        <v>0.26015120625212368</v>
      </c>
      <c r="U224" s="25">
        <v>0.28999999999999998</v>
      </c>
      <c r="V224" s="22">
        <f>ROUND(IF(IFERROR(PROPERTIES[[#This Row],[TE_COEFFICIENT_CALC]],0)=0,PROPERTIES[[#This Row],[TE_COEFFICIENT_MANUAL]],PROPERTIES[[#This Row],[TE_COEFFICIENT_CALC]]),3)</f>
        <v>0.26</v>
      </c>
      <c r="W224" s="10" cm="1">
        <f t="array" ref="W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4" s="32">
        <v>0</v>
      </c>
      <c r="Y224" s="8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8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9" t="b">
        <v>0</v>
      </c>
      <c r="AY224"/>
      <c r="AZ224"/>
      <c r="BA224"/>
    </row>
    <row r="225" spans="1:53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t="s">
        <v>1717</v>
      </c>
      <c r="F225" t="str">
        <f>_xlfn.XLOOKUP(PROPERTIES[[#This Row],[COUNTRY]],COUNTRIES[COUNTRY_DESCRIPTION],COUNTRIES[COUNTRY_LABEL],"")</f>
        <v>BE</v>
      </c>
      <c r="G225" t="str" cm="1">
        <f t="array" ref="G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5" t="s">
        <v>19</v>
      </c>
      <c r="I225">
        <v>0</v>
      </c>
      <c r="J225">
        <v>7</v>
      </c>
      <c r="K225">
        <v>7</v>
      </c>
      <c r="L225" t="str" cm="1">
        <f t="array" ref="L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5">
        <f>_xlfn.XLOOKUP("LOADINGSPEEDDEF_"&amp;PROPERTIES[[#This Row],[LOADINGSPEED]],LOADINGSPEEDDEF[TYPE],LOADINGSPEEDDEF[SPEED])</f>
        <v>20</v>
      </c>
      <c r="N225" t="str" cm="1">
        <f t="array" ref="N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5">
        <f>IF(ISNUMBER(SEARCH("passenger",PROPERTIES[[#This Row],[CARGODEF]])),1,0)</f>
        <v>0</v>
      </c>
      <c r="P225" s="29">
        <v>90</v>
      </c>
      <c r="Q225">
        <v>1500</v>
      </c>
      <c r="R225">
        <v>100</v>
      </c>
      <c r="S225" s="26">
        <v>291</v>
      </c>
      <c r="T225" s="25">
        <f>IFERROR(PROPERTIES[[#This Row],[TE_STARTING_KN]]/(PROPERTIES[[#This Row],[WEIGHT]]*9.81),0)</f>
        <v>0.3295956506965681</v>
      </c>
      <c r="U225" s="25">
        <v>0.34</v>
      </c>
      <c r="V225" s="22">
        <f>ROUND(IF(IFERROR(PROPERTIES[[#This Row],[TE_COEFFICIENT_CALC]],0)=0,PROPERTIES[[#This Row],[TE_COEFFICIENT_MANUAL]],PROPERTIES[[#This Row],[TE_COEFFICIENT_CALC]]),3)</f>
        <v>0.33</v>
      </c>
      <c r="W225" s="10" cm="1">
        <f t="array" ref="W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5" s="32">
        <v>0</v>
      </c>
      <c r="Y225" s="8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8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9" t="b">
        <v>0</v>
      </c>
      <c r="AY225"/>
      <c r="AZ225"/>
      <c r="BA225"/>
    </row>
    <row r="226" spans="1:53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t="s">
        <v>1773</v>
      </c>
      <c r="F226" t="str">
        <f>_xlfn.XLOOKUP(PROPERTIES[[#This Row],[COUNTRY]],COUNTRIES[COUNTRY_DESCRIPTION],COUNTRIES[COUNTRY_LABEL],"")</f>
        <v>GB</v>
      </c>
      <c r="G226" t="str" cm="1">
        <f t="array" ref="G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6" t="s">
        <v>19</v>
      </c>
      <c r="I226">
        <v>0</v>
      </c>
      <c r="J226">
        <v>8</v>
      </c>
      <c r="K226">
        <v>8</v>
      </c>
      <c r="L226" t="str" cm="1">
        <f t="array" ref="L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6">
        <f>_xlfn.XLOOKUP("LOADINGSPEEDDEF_"&amp;PROPERTIES[[#This Row],[LOADINGSPEED]],LOADINGSPEEDDEF[TYPE],LOADINGSPEEDDEF[SPEED])</f>
        <v>20</v>
      </c>
      <c r="N226" t="str" cm="1">
        <f t="array" ref="N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6">
        <f>IF(ISNUMBER(SEARCH("passenger",PROPERTIES[[#This Row],[CARGODEF]])),1,0)</f>
        <v>0</v>
      </c>
      <c r="P226" s="29">
        <v>126</v>
      </c>
      <c r="Q226">
        <v>3200</v>
      </c>
      <c r="R226">
        <v>120</v>
      </c>
      <c r="S226" s="26">
        <v>409</v>
      </c>
      <c r="T226" s="25">
        <f>IFERROR(PROPERTIES[[#This Row],[TE_STARTING_KN]]/(PROPERTIES[[#This Row],[WEIGHT]]*9.81),0)</f>
        <v>0.33089008624176813</v>
      </c>
      <c r="U226" s="25">
        <v>0.32</v>
      </c>
      <c r="V226" s="22">
        <f>ROUND(IF(IFERROR(PROPERTIES[[#This Row],[TE_COEFFICIENT_CALC]],0)=0,PROPERTIES[[#This Row],[TE_COEFFICIENT_MANUAL]],PROPERTIES[[#This Row],[TE_COEFFICIENT_CALC]]),3)</f>
        <v>0.33100000000000002</v>
      </c>
      <c r="W226" s="10" cm="1">
        <f t="array" ref="W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6" s="32">
        <v>0</v>
      </c>
      <c r="Y226" s="8">
        <v>0</v>
      </c>
      <c r="Z226" t="s">
        <v>878</v>
      </c>
      <c r="AA226" t="s">
        <v>872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8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9" t="b">
        <v>0</v>
      </c>
      <c r="AY226"/>
      <c r="AZ226"/>
      <c r="BA226"/>
    </row>
    <row r="227" spans="1:53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t="s">
        <v>1773</v>
      </c>
      <c r="F227" t="str">
        <f>_xlfn.XLOOKUP(PROPERTIES[[#This Row],[COUNTRY]],COUNTRIES[COUNTRY_DESCRIPTION],COUNTRIES[COUNTRY_LABEL],"")</f>
        <v>GB</v>
      </c>
      <c r="G227" t="str" cm="1">
        <f t="array" ref="G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7" t="s">
        <v>19</v>
      </c>
      <c r="I227">
        <v>0</v>
      </c>
      <c r="J227">
        <v>8</v>
      </c>
      <c r="K227">
        <v>8</v>
      </c>
      <c r="L227" t="str" cm="1">
        <f t="array" ref="L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7">
        <f>_xlfn.XLOOKUP("LOADINGSPEEDDEF_"&amp;PROPERTIES[[#This Row],[LOADINGSPEED]],LOADINGSPEEDDEF[TYPE],LOADINGSPEEDDEF[SPEED])</f>
        <v>20</v>
      </c>
      <c r="N227" t="str" cm="1">
        <f t="array" ref="N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7">
        <f>IF(ISNUMBER(SEARCH("passenger",PROPERTIES[[#This Row],[CARGODEF]])),1,0)</f>
        <v>0</v>
      </c>
      <c r="P227" s="29">
        <v>88</v>
      </c>
      <c r="Q227">
        <v>3200</v>
      </c>
      <c r="R227">
        <v>200</v>
      </c>
      <c r="S227" s="26">
        <v>143</v>
      </c>
      <c r="T227" s="25">
        <f>IFERROR(PROPERTIES[[#This Row],[TE_STARTING_KN]]/(PROPERTIES[[#This Row],[WEIGHT]]*9.81),0)</f>
        <v>0.16564729867482159</v>
      </c>
      <c r="U227" s="25">
        <v>0.2</v>
      </c>
      <c r="V227" s="22">
        <f>ROUND(IF(IFERROR(PROPERTIES[[#This Row],[TE_COEFFICIENT_CALC]],0)=0,PROPERTIES[[#This Row],[TE_COEFFICIENT_MANUAL]],PROPERTIES[[#This Row],[TE_COEFFICIENT_CALC]]),3)</f>
        <v>0.16600000000000001</v>
      </c>
      <c r="W227" s="10" cm="1">
        <f t="array" ref="W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7" s="32">
        <v>0</v>
      </c>
      <c r="Y227" s="8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8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9" t="b">
        <v>0</v>
      </c>
      <c r="AY227"/>
      <c r="AZ227"/>
      <c r="BA227"/>
    </row>
    <row r="228" spans="1:53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t="s">
        <v>1804</v>
      </c>
      <c r="F228" t="str">
        <f>_xlfn.XLOOKUP(PROPERTIES[[#This Row],[COUNTRY]],COUNTRIES[COUNTRY_DESCRIPTION],COUNTRIES[COUNTRY_LABEL],"")</f>
        <v>IR</v>
      </c>
      <c r="G228" t="str" cm="1">
        <f t="array" ref="G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8" t="s">
        <v>19</v>
      </c>
      <c r="I228">
        <v>0</v>
      </c>
      <c r="J228">
        <v>8</v>
      </c>
      <c r="K228">
        <v>8</v>
      </c>
      <c r="L228" t="str" cm="1">
        <f t="array" ref="L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8">
        <f>_xlfn.XLOOKUP("LOADINGSPEEDDEF_"&amp;PROPERTIES[[#This Row],[LOADINGSPEED]],LOADINGSPEEDDEF[TYPE],LOADINGSPEEDDEF[SPEED])</f>
        <v>20</v>
      </c>
      <c r="N228" t="str" cm="1">
        <f t="array" ref="N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8">
        <f>IF(ISNUMBER(SEARCH("passenger",PROPERTIES[[#This Row],[CARGODEF]])),1,0)</f>
        <v>0</v>
      </c>
      <c r="P228" s="29">
        <v>123</v>
      </c>
      <c r="Q228">
        <v>4300</v>
      </c>
      <c r="R228">
        <v>160</v>
      </c>
      <c r="S228" s="26">
        <v>542</v>
      </c>
      <c r="T228" s="25">
        <f>IFERROR(PROPERTIES[[#This Row],[TE_STARTING_KN]]/(PROPERTIES[[#This Row],[WEIGHT]]*9.81),0)</f>
        <v>0.44918491998375637</v>
      </c>
      <c r="U228" s="25">
        <v>0.21</v>
      </c>
      <c r="V228" s="22">
        <f>ROUND(IF(IFERROR(PROPERTIES[[#This Row],[TE_COEFFICIENT_CALC]],0)=0,PROPERTIES[[#This Row],[TE_COEFFICIENT_MANUAL]],PROPERTIES[[#This Row],[TE_COEFFICIENT_CALC]]),3)</f>
        <v>0.44900000000000001</v>
      </c>
      <c r="W228" s="10" cm="1">
        <f t="array" ref="W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8" s="32">
        <v>0</v>
      </c>
      <c r="Y228" s="8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8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9" t="b">
        <v>0</v>
      </c>
      <c r="AY228"/>
      <c r="AZ228"/>
      <c r="BA228"/>
    </row>
    <row r="229" spans="1:53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t="s">
        <v>1925</v>
      </c>
      <c r="F229" t="str">
        <f>_xlfn.XLOOKUP(PROPERTIES[[#This Row],[COUNTRY]],COUNTRIES[COUNTRY_DESCRIPTION],COUNTRIES[COUNTRY_LABEL],"")</f>
        <v>UA</v>
      </c>
      <c r="G229" t="str" cm="1">
        <f t="array" ref="G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9" t="s">
        <v>19</v>
      </c>
      <c r="I229">
        <v>0</v>
      </c>
      <c r="J229">
        <v>8</v>
      </c>
      <c r="K229">
        <v>8</v>
      </c>
      <c r="L229" t="str" cm="1">
        <f t="array" ref="L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9">
        <f>_xlfn.XLOOKUP("LOADINGSPEEDDEF_"&amp;PROPERTIES[[#This Row],[LOADINGSPEED]],LOADINGSPEEDDEF[TYPE],LOADINGSPEEDDEF[SPEED])</f>
        <v>20</v>
      </c>
      <c r="N229" t="str" cm="1">
        <f t="array" ref="N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9">
        <f>IF(ISNUMBER(SEARCH("passenger",PROPERTIES[[#This Row],[CARGODEF]])),1,0)</f>
        <v>0</v>
      </c>
      <c r="P229" s="29">
        <v>135</v>
      </c>
      <c r="Q229">
        <v>4216</v>
      </c>
      <c r="R229">
        <v>160</v>
      </c>
      <c r="S229" s="26">
        <v>310</v>
      </c>
      <c r="T229" s="25">
        <f>IFERROR(PROPERTIES[[#This Row],[TE_STARTING_KN]]/(PROPERTIES[[#This Row],[WEIGHT]]*9.81),0)</f>
        <v>0.23407709442367952</v>
      </c>
      <c r="U229" s="25">
        <v>0.12</v>
      </c>
      <c r="V229" s="22">
        <f>ROUND(IF(IFERROR(PROPERTIES[[#This Row],[TE_COEFFICIENT_CALC]],0)=0,PROPERTIES[[#This Row],[TE_COEFFICIENT_MANUAL]],PROPERTIES[[#This Row],[TE_COEFFICIENT_CALC]]),3)</f>
        <v>0.23400000000000001</v>
      </c>
      <c r="W229" s="10" cm="1">
        <f t="array" ref="W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9" s="32">
        <v>0</v>
      </c>
      <c r="Y229" s="8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8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9" t="b">
        <v>0</v>
      </c>
      <c r="AY229"/>
      <c r="AZ229"/>
      <c r="BA229"/>
    </row>
    <row r="230" spans="1:53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t="s">
        <v>1745</v>
      </c>
      <c r="F230" t="str">
        <f>_xlfn.XLOOKUP(PROPERTIES[[#This Row],[COUNTRY]],COUNTRIES[COUNTRY_DESCRIPTION],COUNTRIES[COUNTRY_LABEL],"")</f>
        <v>CN</v>
      </c>
      <c r="G230" t="str" cm="1">
        <f t="array" ref="G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0" t="s">
        <v>19</v>
      </c>
      <c r="I230">
        <v>0</v>
      </c>
      <c r="J230">
        <v>8</v>
      </c>
      <c r="K230">
        <v>8</v>
      </c>
      <c r="L230" t="str" cm="1">
        <f t="array" ref="L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0">
        <f>_xlfn.XLOOKUP("LOADINGSPEEDDEF_"&amp;PROPERTIES[[#This Row],[LOADINGSPEED]],LOADINGSPEEDDEF[TYPE],LOADINGSPEEDDEF[SPEED])</f>
        <v>20</v>
      </c>
      <c r="N230" t="str" cm="1">
        <f t="array" ref="N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0">
        <f>IF(ISNUMBER(SEARCH("passenger",PROPERTIES[[#This Row],[CARGODEF]])),1,0)</f>
        <v>0</v>
      </c>
      <c r="P230" s="29">
        <v>150</v>
      </c>
      <c r="Q230">
        <v>6250</v>
      </c>
      <c r="R230">
        <v>120</v>
      </c>
      <c r="S230" s="26">
        <v>620</v>
      </c>
      <c r="T230" s="25">
        <f>IFERROR(PROPERTIES[[#This Row],[TE_STARTING_KN]]/(PROPERTIES[[#This Row],[WEIGHT]]*9.81),0)</f>
        <v>0.42133876996262315</v>
      </c>
      <c r="U230" s="25">
        <v>0.41</v>
      </c>
      <c r="V230" s="22">
        <f>ROUND(IF(IFERROR(PROPERTIES[[#This Row],[TE_COEFFICIENT_CALC]],0)=0,PROPERTIES[[#This Row],[TE_COEFFICIENT_MANUAL]],PROPERTIES[[#This Row],[TE_COEFFICIENT_CALC]]),3)</f>
        <v>0.42099999999999999</v>
      </c>
      <c r="W230" s="10" cm="1">
        <f t="array" ref="W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0" s="32">
        <v>0</v>
      </c>
      <c r="Y230" s="8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8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9" t="b">
        <v>0</v>
      </c>
      <c r="AY230"/>
      <c r="AZ230"/>
      <c r="BA230"/>
    </row>
    <row r="231" spans="1:53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t="s">
        <v>1754</v>
      </c>
      <c r="F231" t="str">
        <f>_xlfn.XLOOKUP(PROPERTIES[[#This Row],[COUNTRY]],COUNTRIES[COUNTRY_DESCRIPTION],COUNTRIES[COUNTRY_LABEL],"")</f>
        <v>DE</v>
      </c>
      <c r="G231" t="str" cm="1">
        <f t="array" ref="G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1" t="s">
        <v>19</v>
      </c>
      <c r="I231">
        <v>0</v>
      </c>
      <c r="J231">
        <v>8</v>
      </c>
      <c r="K231">
        <v>8</v>
      </c>
      <c r="L231" t="str" cm="1">
        <f t="array" ref="L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1">
        <f>_xlfn.XLOOKUP("LOADINGSPEEDDEF_"&amp;PROPERTIES[[#This Row],[LOADINGSPEED]],LOADINGSPEEDDEF[TYPE],LOADINGSPEEDDEF[SPEED])</f>
        <v>20</v>
      </c>
      <c r="N231" t="str" cm="1">
        <f t="array" ref="N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1">
        <f>IF(ISNUMBER(SEARCH("passenger",PROPERTIES[[#This Row],[CARGODEF]])),1,0)</f>
        <v>0</v>
      </c>
      <c r="P231" s="29">
        <v>80</v>
      </c>
      <c r="Q231">
        <v>1600</v>
      </c>
      <c r="R231">
        <v>100</v>
      </c>
      <c r="S231" s="26">
        <v>313</v>
      </c>
      <c r="T231" s="25">
        <f>IFERROR(PROPERTIES[[#This Row],[TE_STARTING_KN]]/(PROPERTIES[[#This Row],[WEIGHT]]*9.81),0)</f>
        <v>0.39882772680937817</v>
      </c>
      <c r="U231" s="25">
        <v>0.32</v>
      </c>
      <c r="V231" s="22">
        <f>ROUND(IF(IFERROR(PROPERTIES[[#This Row],[TE_COEFFICIENT_CALC]],0)=0,PROPERTIES[[#This Row],[TE_COEFFICIENT_MANUAL]],PROPERTIES[[#This Row],[TE_COEFFICIENT_CALC]]),3)</f>
        <v>0.39900000000000002</v>
      </c>
      <c r="W231" s="10" cm="1">
        <f t="array" ref="W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1" s="32">
        <v>0</v>
      </c>
      <c r="Y231" s="8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8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9" t="b">
        <v>0</v>
      </c>
      <c r="AY231"/>
      <c r="AZ231"/>
      <c r="BA231"/>
    </row>
    <row r="232" spans="1:53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t="s">
        <v>1887</v>
      </c>
      <c r="F232" t="str">
        <f>_xlfn.XLOOKUP(PROPERTIES[[#This Row],[COUNTRY]],COUNTRIES[COUNTRY_DESCRIPTION],COUNTRIES[COUNTRY_LABEL],"")</f>
        <v>RU</v>
      </c>
      <c r="G232" t="str" cm="1">
        <f t="array" ref="G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2" t="s">
        <v>19</v>
      </c>
      <c r="I232">
        <v>0</v>
      </c>
      <c r="J232">
        <v>8</v>
      </c>
      <c r="K232">
        <v>16</v>
      </c>
      <c r="L232" t="str" cm="1">
        <f t="array" ref="L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2">
        <f>_xlfn.XLOOKUP("LOADINGSPEEDDEF_"&amp;PROPERTIES[[#This Row],[LOADINGSPEED]],LOADINGSPEEDDEF[TYPE],LOADINGSPEEDDEF[SPEED])</f>
        <v>20</v>
      </c>
      <c r="N232" t="str" cm="1">
        <f t="array" ref="N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2">
        <f>IF(ISNUMBER(SEARCH("passenger",PROPERTIES[[#This Row],[CARGODEF]])),1,0)</f>
        <v>0</v>
      </c>
      <c r="P232" s="29">
        <v>300</v>
      </c>
      <c r="Q232">
        <v>11130</v>
      </c>
      <c r="R232">
        <v>100</v>
      </c>
      <c r="S232" s="26">
        <v>775</v>
      </c>
      <c r="T232" s="25">
        <f>IFERROR(PROPERTIES[[#This Row],[TE_STARTING_KN]]/(PROPERTIES[[#This Row],[WEIGHT]]*9.81),0)</f>
        <v>0.26333673122663948</v>
      </c>
      <c r="U232" s="25">
        <v>0.23</v>
      </c>
      <c r="V232" s="22">
        <f>ROUND(IF(IFERROR(PROPERTIES[[#This Row],[TE_COEFFICIENT_CALC]],0)=0,PROPERTIES[[#This Row],[TE_COEFFICIENT_MANUAL]],PROPERTIES[[#This Row],[TE_COEFFICIENT_CALC]]),3)</f>
        <v>0.26300000000000001</v>
      </c>
      <c r="W232" s="10" cm="1">
        <f t="array" ref="W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2" s="32">
        <v>0</v>
      </c>
      <c r="Y232" s="8">
        <v>8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8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9" t="b">
        <v>0</v>
      </c>
      <c r="AY232"/>
      <c r="AZ232"/>
      <c r="BA232"/>
    </row>
    <row r="233" spans="1:53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t="s">
        <v>1791</v>
      </c>
      <c r="F233" t="str">
        <f>_xlfn.XLOOKUP(PROPERTIES[[#This Row],[COUNTRY]],COUNTRIES[COUNTRY_DESCRIPTION],COUNTRIES[COUNTRY_LABEL],"")</f>
        <v>HK</v>
      </c>
      <c r="G233" t="str" cm="1">
        <f t="array" ref="G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3" t="s">
        <v>19</v>
      </c>
      <c r="I233">
        <v>0</v>
      </c>
      <c r="J233">
        <v>8</v>
      </c>
      <c r="K233">
        <v>8</v>
      </c>
      <c r="L233" t="str" cm="1">
        <f t="array" ref="L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3">
        <f>_xlfn.XLOOKUP("LOADINGSPEEDDEF_"&amp;PROPERTIES[[#This Row],[LOADINGSPEED]],LOADINGSPEEDDEF[TYPE],LOADINGSPEEDDEF[SPEED])</f>
        <v>20</v>
      </c>
      <c r="N233" t="str" cm="1">
        <f t="array" ref="N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3">
        <f>IF(ISNUMBER(SEARCH("passenger",PROPERTIES[[#This Row],[CARGODEF]])),1,0)</f>
        <v>0</v>
      </c>
      <c r="P233" s="29">
        <v>80</v>
      </c>
      <c r="Q233">
        <v>2680</v>
      </c>
      <c r="R233">
        <v>140</v>
      </c>
      <c r="S233" s="26">
        <v>235</v>
      </c>
      <c r="T233" s="25">
        <f>IFERROR(PROPERTIES[[#This Row],[TE_STARTING_KN]]/(PROPERTIES[[#This Row],[WEIGHT]]*9.81),0)</f>
        <v>0.29943934760448521</v>
      </c>
      <c r="U233" s="25">
        <v>0.28999999999999998</v>
      </c>
      <c r="V233" s="22">
        <f>ROUND(IF(IFERROR(PROPERTIES[[#This Row],[TE_COEFFICIENT_CALC]],0)=0,PROPERTIES[[#This Row],[TE_COEFFICIENT_MANUAL]],PROPERTIES[[#This Row],[TE_COEFFICIENT_CALC]]),3)</f>
        <v>0.29899999999999999</v>
      </c>
      <c r="W233" s="10" cm="1">
        <f t="array" ref="W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3" s="32">
        <v>0</v>
      </c>
      <c r="Y233" s="8">
        <v>0</v>
      </c>
      <c r="Z233" t="s">
        <v>877</v>
      </c>
      <c r="AA233" t="s">
        <v>878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8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9" t="b">
        <v>0</v>
      </c>
      <c r="AY233"/>
      <c r="AZ233"/>
      <c r="BA233"/>
    </row>
    <row r="234" spans="1:53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t="s">
        <v>1754</v>
      </c>
      <c r="F234" t="str">
        <f>_xlfn.XLOOKUP(PROPERTIES[[#This Row],[COUNTRY]],COUNTRIES[COUNTRY_DESCRIPTION],COUNTRIES[COUNTRY_LABEL],"")</f>
        <v>DE</v>
      </c>
      <c r="G234" t="str" cm="1">
        <f t="array" ref="G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4" t="s">
        <v>19</v>
      </c>
      <c r="I234">
        <v>0</v>
      </c>
      <c r="J234">
        <v>8</v>
      </c>
      <c r="K234">
        <v>8</v>
      </c>
      <c r="L234" t="str" cm="1">
        <f t="array" ref="L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4">
        <f>_xlfn.XLOOKUP("LOADINGSPEEDDEF_"&amp;PROPERTIES[[#This Row],[LOADINGSPEED]],LOADINGSPEEDDEF[TYPE],LOADINGSPEEDDEF[SPEED])</f>
        <v>20</v>
      </c>
      <c r="N234" t="str" cm="1">
        <f t="array" ref="N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4">
        <f>IF(ISNUMBER(SEARCH("passenger",PROPERTIES[[#This Row],[CARGODEF]])),1,0)</f>
        <v>0</v>
      </c>
      <c r="P234" s="29">
        <v>135</v>
      </c>
      <c r="Q234">
        <v>4900</v>
      </c>
      <c r="R234">
        <v>140</v>
      </c>
      <c r="S234" s="26">
        <v>408</v>
      </c>
      <c r="T234" s="25">
        <f>IFERROR(PROPERTIES[[#This Row],[TE_STARTING_KN]]/(PROPERTIES[[#This Row],[WEIGHT]]*9.81),0)</f>
        <v>0.30807565975761692</v>
      </c>
      <c r="U234" s="25">
        <v>0.35</v>
      </c>
      <c r="V234" s="22">
        <f>ROUND(IF(IFERROR(PROPERTIES[[#This Row],[TE_COEFFICIENT_CALC]],0)=0,PROPERTIES[[#This Row],[TE_COEFFICIENT_MANUAL]],PROPERTIES[[#This Row],[TE_COEFFICIENT_CALC]]),3)</f>
        <v>0.308</v>
      </c>
      <c r="W234" s="10" cm="1">
        <f t="array" ref="W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4" s="32">
        <v>0</v>
      </c>
      <c r="Y234" s="8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8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9" t="b">
        <v>0</v>
      </c>
      <c r="AY234"/>
      <c r="AZ234"/>
      <c r="BA234"/>
    </row>
    <row r="235" spans="1:53">
      <c r="A235" s="2" t="s">
        <v>254</v>
      </c>
      <c r="B235">
        <v>1963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t="s">
        <v>1887</v>
      </c>
      <c r="F235" t="str">
        <f>_xlfn.XLOOKUP(PROPERTIES[[#This Row],[COUNTRY]],COUNTRIES[COUNTRY_DESCRIPTION],COUNTRIES[COUNTRY_LABEL],"")</f>
        <v>RU</v>
      </c>
      <c r="G235" t="str" cm="1">
        <f t="array" ref="G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5" t="s">
        <v>19</v>
      </c>
      <c r="I235">
        <v>0</v>
      </c>
      <c r="J235">
        <v>7</v>
      </c>
      <c r="K235">
        <v>7</v>
      </c>
      <c r="L235" t="str" cm="1">
        <f t="array" ref="L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5">
        <f>_xlfn.XLOOKUP("LOADINGSPEEDDEF_"&amp;PROPERTIES[[#This Row],[LOADINGSPEED]],LOADINGSPEEDDEF[TYPE],LOADINGSPEEDDEF[SPEED])</f>
        <v>20</v>
      </c>
      <c r="N235" cm="1">
        <f t="array" ref="N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5">
        <f>IF(ISNUMBER(SEARCH("passenger",PROPERTIES[[#This Row],[CARGODEF]])),1,0)</f>
        <v>0</v>
      </c>
      <c r="P235" s="29">
        <v>125</v>
      </c>
      <c r="Q235">
        <v>1300</v>
      </c>
      <c r="R235">
        <v>95</v>
      </c>
      <c r="S235" s="26">
        <v>265</v>
      </c>
      <c r="T235" s="25">
        <f>IFERROR(PROPERTIES[[#This Row],[TE_STARTING_KN]]/(PROPERTIES[[#This Row],[WEIGHT]]*9.81),0)</f>
        <v>0.21610601427115189</v>
      </c>
      <c r="U235" s="25">
        <v>0.12</v>
      </c>
      <c r="V235" s="22">
        <f>ROUND(IF(IFERROR(PROPERTIES[[#This Row],[TE_COEFFICIENT_CALC]],0)=0,PROPERTIES[[#This Row],[TE_COEFFICIENT_MANUAL]],PROPERTIES[[#This Row],[TE_COEFFICIENT_CALC]]),3)</f>
        <v>0.216</v>
      </c>
      <c r="W235" s="10" cm="1">
        <f t="array" ref="W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5" s="32">
        <v>0</v>
      </c>
      <c r="Y235" s="8">
        <v>0</v>
      </c>
      <c r="Z235" t="s">
        <v>3514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8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9" t="b">
        <v>0</v>
      </c>
      <c r="AY235"/>
      <c r="AZ235"/>
      <c r="BA235"/>
    </row>
    <row r="236" spans="1:53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t="s">
        <v>1735</v>
      </c>
      <c r="F236" t="str">
        <f>_xlfn.XLOOKUP(PROPERTIES[[#This Row],[COUNTRY]],COUNTRIES[COUNTRY_DESCRIPTION],COUNTRIES[COUNTRY_LABEL],"")</f>
        <v>CA</v>
      </c>
      <c r="G236" t="str" cm="1">
        <f t="array" ref="G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6" t="s">
        <v>19</v>
      </c>
      <c r="I236">
        <v>0</v>
      </c>
      <c r="J236">
        <v>7</v>
      </c>
      <c r="K236">
        <v>14</v>
      </c>
      <c r="L236" t="str" cm="1">
        <f t="array" ref="L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6">
        <f>_xlfn.XLOOKUP("LOADINGSPEEDDEF_"&amp;PROPERTIES[[#This Row],[LOADINGSPEED]],LOADINGSPEEDDEF[TYPE],LOADINGSPEEDDEF[SPEED])</f>
        <v>20</v>
      </c>
      <c r="N236" cm="1">
        <f t="array" ref="N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6">
        <f>IF(ISNUMBER(SEARCH("passenger",PROPERTIES[[#This Row],[CARGODEF]])),1,0)</f>
        <v>0</v>
      </c>
      <c r="P236" s="29">
        <v>335</v>
      </c>
      <c r="Q236">
        <v>2660</v>
      </c>
      <c r="R236">
        <v>112</v>
      </c>
      <c r="S236" s="26">
        <v>213.5</v>
      </c>
      <c r="T236" s="25">
        <f>IFERROR(PROPERTIES[[#This Row],[TE_STARTING_KN]]/(PROPERTIES[[#This Row],[WEIGHT]]*9.81),0)</f>
        <v>6.4965691420572971E-2</v>
      </c>
      <c r="U236" s="25">
        <v>0.11</v>
      </c>
      <c r="V236" s="22">
        <f>ROUND(IF(IFERROR(PROPERTIES[[#This Row],[TE_COEFFICIENT_CALC]],0)=0,PROPERTIES[[#This Row],[TE_COEFFICIENT_MANUAL]],PROPERTIES[[#This Row],[TE_COEFFICIENT_CALC]]),3)</f>
        <v>6.5000000000000002E-2</v>
      </c>
      <c r="W236" s="10" cm="1">
        <f t="array" ref="W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6" s="32">
        <v>0</v>
      </c>
      <c r="Y236" s="8">
        <v>7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8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9" t="b">
        <v>0</v>
      </c>
      <c r="AY236"/>
      <c r="AZ236"/>
      <c r="BA236"/>
    </row>
    <row r="237" spans="1:53">
      <c r="A237" s="2" t="s">
        <v>3045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t="s">
        <v>1773</v>
      </c>
      <c r="F237" t="str">
        <f>_xlfn.XLOOKUP(PROPERTIES[[#This Row],[COUNTRY]],COUNTRIES[COUNTRY_DESCRIPTION],COUNTRIES[COUNTRY_LABEL],"")</f>
        <v>GB</v>
      </c>
      <c r="G237" t="str" cm="1">
        <f t="array" ref="G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7" t="s">
        <v>19</v>
      </c>
      <c r="I237">
        <v>0</v>
      </c>
      <c r="J237">
        <v>4</v>
      </c>
      <c r="K237">
        <v>4</v>
      </c>
      <c r="L237" t="str" cm="1">
        <f t="array" ref="L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7">
        <f>_xlfn.XLOOKUP("LOADINGSPEEDDEF_"&amp;PROPERTIES[[#This Row],[LOADINGSPEED]],LOADINGSPEEDDEF[TYPE],LOADINGSPEEDDEF[SPEED])</f>
        <v>20</v>
      </c>
      <c r="N237" cm="1">
        <f t="array" ref="N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7">
        <f>IF(ISNUMBER(SEARCH("passenger",PROPERTIES[[#This Row],[CARGODEF]])),1,0)</f>
        <v>0</v>
      </c>
      <c r="P237" s="29">
        <v>22</v>
      </c>
      <c r="Q237">
        <v>150</v>
      </c>
      <c r="R237">
        <v>48</v>
      </c>
      <c r="S237" s="26">
        <v>46.8</v>
      </c>
      <c r="T237" s="25">
        <f>IFERROR(PROPERTIES[[#This Row],[TE_STARTING_KN]]/(PROPERTIES[[#This Row],[WEIGHT]]*9.81),0)</f>
        <v>0.21684737281067554</v>
      </c>
      <c r="U237" s="25">
        <v>0.21</v>
      </c>
      <c r="V237" s="22">
        <f>ROUND(IF(IFERROR(PROPERTIES[[#This Row],[TE_COEFFICIENT_CALC]],0)=0,PROPERTIES[[#This Row],[TE_COEFFICIENT_MANUAL]],PROPERTIES[[#This Row],[TE_COEFFICIENT_CALC]]),3)</f>
        <v>0.217</v>
      </c>
      <c r="W237" s="10" cm="1">
        <f t="array" ref="W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7" s="32">
        <v>0</v>
      </c>
      <c r="Y237" s="8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8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9" t="b">
        <v>0</v>
      </c>
      <c r="AY237"/>
      <c r="AZ237"/>
      <c r="BA237"/>
    </row>
    <row r="238" spans="1:53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t="s">
        <v>1928</v>
      </c>
      <c r="F238" t="str">
        <f>_xlfn.XLOOKUP(PROPERTIES[[#This Row],[COUNTRY]],COUNTRIES[COUNTRY_DESCRIPTION],COUNTRIES[COUNTRY_LABEL],"")</f>
        <v>US</v>
      </c>
      <c r="G238" t="str" cm="1">
        <f t="array" ref="G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8" t="s">
        <v>19</v>
      </c>
      <c r="I238">
        <v>0</v>
      </c>
      <c r="J238">
        <v>8</v>
      </c>
      <c r="K238">
        <v>8</v>
      </c>
      <c r="L238" t="str" cm="1">
        <f t="array" ref="L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8">
        <f>_xlfn.XLOOKUP("LOADINGSPEEDDEF_"&amp;PROPERTIES[[#This Row],[LOADINGSPEED]],LOADINGSPEEDDEF[TYPE],LOADINGSPEEDDEF[SPEED])</f>
        <v>20</v>
      </c>
      <c r="N238" cm="1">
        <f t="array" ref="N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8">
        <f>IF(ISNUMBER(SEARCH("passenger",PROPERTIES[[#This Row],[CARGODEF]])),1,0)</f>
        <v>0</v>
      </c>
      <c r="P238" s="29">
        <v>98</v>
      </c>
      <c r="Q238">
        <v>1200</v>
      </c>
      <c r="R238">
        <v>180</v>
      </c>
      <c r="S238" s="26">
        <v>125</v>
      </c>
      <c r="T238" s="25">
        <f>IFERROR(PROPERTIES[[#This Row],[TE_STARTING_KN]]/(PROPERTIES[[#This Row],[WEIGHT]]*9.81),0)</f>
        <v>0.13002142753125714</v>
      </c>
      <c r="U238" s="25">
        <v>0.12</v>
      </c>
      <c r="V238" s="22">
        <f>ROUND(IF(IFERROR(PROPERTIES[[#This Row],[TE_COEFFICIENT_CALC]],0)=0,PROPERTIES[[#This Row],[TE_COEFFICIENT_MANUAL]],PROPERTIES[[#This Row],[TE_COEFFICIENT_CALC]]),3)</f>
        <v>0.13</v>
      </c>
      <c r="W238" s="10" cm="1">
        <f t="array" ref="W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8" s="32">
        <v>0</v>
      </c>
      <c r="Y238" s="8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8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9" t="b">
        <v>0</v>
      </c>
      <c r="AY238"/>
      <c r="AZ238"/>
      <c r="BA238"/>
    </row>
    <row r="239" spans="1:53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t="s">
        <v>1928</v>
      </c>
      <c r="F239" t="str">
        <f>_xlfn.XLOOKUP(PROPERTIES[[#This Row],[COUNTRY]],COUNTRIES[COUNTRY_DESCRIPTION],COUNTRIES[COUNTRY_LABEL],"")</f>
        <v>US</v>
      </c>
      <c r="G239" t="str" cm="1">
        <f t="array" ref="G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9" t="s">
        <v>19</v>
      </c>
      <c r="I239">
        <v>0</v>
      </c>
      <c r="J239">
        <v>6</v>
      </c>
      <c r="K239">
        <v>6</v>
      </c>
      <c r="L239" t="str" cm="1">
        <f t="array" ref="L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9">
        <f>_xlfn.XLOOKUP("LOADINGSPEEDDEF_"&amp;PROPERTIES[[#This Row],[LOADINGSPEED]],LOADINGSPEEDDEF[TYPE],LOADINGSPEEDDEF[SPEED])</f>
        <v>20</v>
      </c>
      <c r="N239" cm="1">
        <f t="array" ref="N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9">
        <f>IF(ISNUMBER(SEARCH("passenger",PROPERTIES[[#This Row],[CARGODEF]])),1,0)</f>
        <v>0</v>
      </c>
      <c r="P239" s="29">
        <v>92</v>
      </c>
      <c r="Q239">
        <v>660</v>
      </c>
      <c r="R239">
        <v>64</v>
      </c>
      <c r="S239" s="26">
        <v>226.84</v>
      </c>
      <c r="T239" s="25">
        <f>IFERROR(PROPERTIES[[#This Row],[TE_STARTING_KN]]/(PROPERTIES[[#This Row],[WEIGHT]]*9.81),0)</f>
        <v>0.2513406905110136</v>
      </c>
      <c r="U239" s="25">
        <v>0.24</v>
      </c>
      <c r="V239" s="22">
        <f>ROUND(IF(IFERROR(PROPERTIES[[#This Row],[TE_COEFFICIENT_CALC]],0)=0,PROPERTIES[[#This Row],[TE_COEFFICIENT_MANUAL]],PROPERTIES[[#This Row],[TE_COEFFICIENT_CALC]]),3)</f>
        <v>0.251</v>
      </c>
      <c r="W239" s="10" cm="1">
        <f t="array" ref="W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9" s="32">
        <v>0</v>
      </c>
      <c r="Y239" s="8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8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9" t="b">
        <v>0</v>
      </c>
      <c r="AY239"/>
      <c r="AZ239"/>
      <c r="BA239"/>
    </row>
    <row r="240" spans="1:53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t="s">
        <v>1773</v>
      </c>
      <c r="F240" t="str">
        <f>_xlfn.XLOOKUP(PROPERTIES[[#This Row],[COUNTRY]],COUNTRIES[COUNTRY_DESCRIPTION],COUNTRIES[COUNTRY_LABEL],"")</f>
        <v>GB</v>
      </c>
      <c r="G240" t="str" cm="1">
        <f t="array" ref="G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0" t="s">
        <v>19</v>
      </c>
      <c r="I240">
        <v>0</v>
      </c>
      <c r="J240">
        <v>5</v>
      </c>
      <c r="K240">
        <v>5</v>
      </c>
      <c r="L240" t="str" cm="1">
        <f t="array" ref="L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0">
        <f>_xlfn.XLOOKUP("LOADINGSPEEDDEF_"&amp;PROPERTIES[[#This Row],[LOADINGSPEED]],LOADINGSPEEDDEF[TYPE],LOADINGSPEEDDEF[SPEED])</f>
        <v>20</v>
      </c>
      <c r="N240" cm="1">
        <f t="array" ref="N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0">
        <f>IF(ISNUMBER(SEARCH("passenger",PROPERTIES[[#This Row],[CARGODEF]])),1,0)</f>
        <v>0</v>
      </c>
      <c r="P240" s="29">
        <v>55</v>
      </c>
      <c r="Q240">
        <v>350</v>
      </c>
      <c r="R240">
        <v>32</v>
      </c>
      <c r="S240" s="26">
        <v>160</v>
      </c>
      <c r="T240" s="25">
        <f>IFERROR(PROPERTIES[[#This Row],[TE_STARTING_KN]]/(PROPERTIES[[#This Row],[WEIGHT]]*9.81),0)</f>
        <v>0.2965434158094708</v>
      </c>
      <c r="U240" s="25">
        <v>0.28999999999999998</v>
      </c>
      <c r="V240" s="22">
        <f>ROUND(IF(IFERROR(PROPERTIES[[#This Row],[TE_COEFFICIENT_CALC]],0)=0,PROPERTIES[[#This Row],[TE_COEFFICIENT_MANUAL]],PROPERTIES[[#This Row],[TE_COEFFICIENT_CALC]]),3)</f>
        <v>0.29699999999999999</v>
      </c>
      <c r="W240" s="10" cm="1">
        <f t="array" ref="W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0" s="32">
        <v>0</v>
      </c>
      <c r="Y240" s="8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8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9" t="b">
        <v>0</v>
      </c>
      <c r="AY240"/>
      <c r="AZ240"/>
      <c r="BA240"/>
    </row>
    <row r="241" spans="1:53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t="s">
        <v>1710</v>
      </c>
      <c r="F241" t="str">
        <f>_xlfn.XLOOKUP(PROPERTIES[[#This Row],[COUNTRY]],COUNTRIES[COUNTRY_DESCRIPTION],COUNTRIES[COUNTRY_LABEL],"")</f>
        <v>AU</v>
      </c>
      <c r="G241" t="str" cm="1">
        <f t="array" ref="G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1" t="s">
        <v>19</v>
      </c>
      <c r="I241">
        <v>0</v>
      </c>
      <c r="J241">
        <v>5</v>
      </c>
      <c r="K241">
        <v>5</v>
      </c>
      <c r="L241" t="str" cm="1">
        <f t="array" ref="L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1">
        <f>_xlfn.XLOOKUP("LOADINGSPEEDDEF_"&amp;PROPERTIES[[#This Row],[LOADINGSPEED]],LOADINGSPEEDDEF[TYPE],LOADINGSPEEDDEF[SPEED])</f>
        <v>20</v>
      </c>
      <c r="N241" cm="1">
        <f t="array" ref="N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1">
        <f>IF(ISNUMBER(SEARCH("passenger",PROPERTIES[[#This Row],[CARGODEF]])),1,0)</f>
        <v>0</v>
      </c>
      <c r="P241" s="29">
        <v>18</v>
      </c>
      <c r="Q241">
        <v>150</v>
      </c>
      <c r="R241">
        <v>50</v>
      </c>
      <c r="S241" s="26">
        <v>31</v>
      </c>
      <c r="T241" s="25">
        <f>IFERROR(PROPERTIES[[#This Row],[TE_STARTING_KN]]/(PROPERTIES[[#This Row],[WEIGHT]]*9.81),0)</f>
        <v>0.17555782081775964</v>
      </c>
      <c r="U241" s="25">
        <v>0.17</v>
      </c>
      <c r="V241" s="22">
        <f>ROUND(IF(IFERROR(PROPERTIES[[#This Row],[TE_COEFFICIENT_CALC]],0)=0,PROPERTIES[[#This Row],[TE_COEFFICIENT_MANUAL]],PROPERTIES[[#This Row],[TE_COEFFICIENT_CALC]]),3)</f>
        <v>0.17599999999999999</v>
      </c>
      <c r="W241" s="10" cm="1">
        <f t="array" ref="W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241" s="32">
        <v>0</v>
      </c>
      <c r="Y241" s="8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8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9" t="b">
        <v>0</v>
      </c>
      <c r="AY241"/>
      <c r="AZ241"/>
      <c r="BA241"/>
    </row>
    <row r="242" spans="1:53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t="s">
        <v>1928</v>
      </c>
      <c r="F242" t="str">
        <f>_xlfn.XLOOKUP(PROPERTIES[[#This Row],[COUNTRY]],COUNTRIES[COUNTRY_DESCRIPTION],COUNTRIES[COUNTRY_LABEL],"")</f>
        <v>US</v>
      </c>
      <c r="G242" t="str" cm="1">
        <f t="array" ref="G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2" t="s">
        <v>19</v>
      </c>
      <c r="I242">
        <v>0</v>
      </c>
      <c r="J242">
        <v>6</v>
      </c>
      <c r="K242">
        <v>6</v>
      </c>
      <c r="L242" t="str" cm="1">
        <f t="array" ref="L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2">
        <f>_xlfn.XLOOKUP("LOADINGSPEEDDEF_"&amp;PROPERTIES[[#This Row],[LOADINGSPEED]],LOADINGSPEEDDEF[TYPE],LOADINGSPEEDDEF[SPEED])</f>
        <v>20</v>
      </c>
      <c r="N242" cm="1">
        <f t="array" ref="N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2">
        <f>IF(ISNUMBER(SEARCH("passenger",PROPERTIES[[#This Row],[CARGODEF]])),1,0)</f>
        <v>0</v>
      </c>
      <c r="P242" s="29">
        <v>109</v>
      </c>
      <c r="Q242">
        <v>1000</v>
      </c>
      <c r="R242">
        <v>97</v>
      </c>
      <c r="S242" s="26">
        <v>179.9</v>
      </c>
      <c r="T242" s="25">
        <f>IFERROR(PROPERTIES[[#This Row],[TE_STARTING_KN]]/(PROPERTIES[[#This Row],[WEIGHT]]*9.81),0)</f>
        <v>0.16824247865406017</v>
      </c>
      <c r="U242" s="25">
        <v>0.17</v>
      </c>
      <c r="V242" s="22">
        <f>ROUND(IF(IFERROR(PROPERTIES[[#This Row],[TE_COEFFICIENT_CALC]],0)=0,PROPERTIES[[#This Row],[TE_COEFFICIENT_MANUAL]],PROPERTIES[[#This Row],[TE_COEFFICIENT_CALC]]),3)</f>
        <v>0.16800000000000001</v>
      </c>
      <c r="W242" s="10" cm="1">
        <f t="array" ref="W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2" s="32">
        <v>0</v>
      </c>
      <c r="Y242" s="8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8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9" t="b">
        <v>0</v>
      </c>
      <c r="AY242"/>
      <c r="AZ242"/>
      <c r="BA242"/>
    </row>
    <row r="243" spans="1:53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t="s">
        <v>1759</v>
      </c>
      <c r="F243" t="str">
        <f>_xlfn.XLOOKUP(PROPERTIES[[#This Row],[COUNTRY]],COUNTRIES[COUNTRY_DESCRIPTION],COUNTRIES[COUNTRY_LABEL],"")</f>
        <v>DZ</v>
      </c>
      <c r="G243" t="str" cm="1">
        <f t="array" ref="G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3" t="s">
        <v>19</v>
      </c>
      <c r="I243">
        <v>0</v>
      </c>
      <c r="J243">
        <v>7</v>
      </c>
      <c r="K243">
        <v>7</v>
      </c>
      <c r="L243" t="str" cm="1">
        <f t="array" ref="L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3">
        <f>_xlfn.XLOOKUP("LOADINGSPEEDDEF_"&amp;PROPERTIES[[#This Row],[LOADINGSPEED]],LOADINGSPEEDDEF[TYPE],LOADINGSPEEDDEF[SPEED])</f>
        <v>20</v>
      </c>
      <c r="N243" cm="1">
        <f t="array" ref="N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3">
        <f>IF(ISNUMBER(SEARCH("passenger",PROPERTIES[[#This Row],[CARGODEF]])),1,0)</f>
        <v>0</v>
      </c>
      <c r="P243" s="29">
        <v>92</v>
      </c>
      <c r="Q243">
        <v>1000</v>
      </c>
      <c r="R243">
        <v>80</v>
      </c>
      <c r="S243" s="26">
        <v>0</v>
      </c>
      <c r="T243" s="25">
        <f>IFERROR(PROPERTIES[[#This Row],[TE_STARTING_KN]]/(PROPERTIES[[#This Row],[WEIGHT]]*9.81),0)</f>
        <v>0</v>
      </c>
      <c r="U243" s="25">
        <v>0.14000000000000001</v>
      </c>
      <c r="V243" s="22">
        <f>ROUND(IF(IFERROR(PROPERTIES[[#This Row],[TE_COEFFICIENT_CALC]],0)=0,PROPERTIES[[#This Row],[TE_COEFFICIENT_MANUAL]],PROPERTIES[[#This Row],[TE_COEFFICIENT_CALC]]),3)</f>
        <v>0.14000000000000001</v>
      </c>
      <c r="W243" s="10" cm="1">
        <f t="array" ref="W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3" s="32">
        <v>0</v>
      </c>
      <c r="Y243" s="8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8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9" t="b">
        <v>0</v>
      </c>
      <c r="AY243"/>
      <c r="AZ243"/>
      <c r="BA243"/>
    </row>
    <row r="244" spans="1:53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t="s">
        <v>1798</v>
      </c>
      <c r="F244" t="str">
        <f>_xlfn.XLOOKUP(PROPERTIES[[#This Row],[COUNTRY]],COUNTRIES[COUNTRY_DESCRIPTION],COUNTRIES[COUNTRY_LABEL],"")</f>
        <v>IE</v>
      </c>
      <c r="G244" t="str" cm="1">
        <f t="array" ref="G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4" t="s">
        <v>19</v>
      </c>
      <c r="I244">
        <v>0</v>
      </c>
      <c r="J244">
        <v>8</v>
      </c>
      <c r="K244">
        <v>8</v>
      </c>
      <c r="L244" t="str" cm="1">
        <f t="array" ref="L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4">
        <f>_xlfn.XLOOKUP("LOADINGSPEEDDEF_"&amp;PROPERTIES[[#This Row],[LOADINGSPEED]],LOADINGSPEEDDEF[TYPE],LOADINGSPEEDDEF[SPEED])</f>
        <v>20</v>
      </c>
      <c r="N244" cm="1">
        <f t="array" ref="N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4">
        <f>IF(ISNUMBER(SEARCH("passenger",PROPERTIES[[#This Row],[CARGODEF]])),1,0)</f>
        <v>0</v>
      </c>
      <c r="P244" s="29">
        <v>81</v>
      </c>
      <c r="Q244">
        <v>915</v>
      </c>
      <c r="R244">
        <v>88</v>
      </c>
      <c r="S244" s="26">
        <v>205</v>
      </c>
      <c r="T244" s="25">
        <f>IFERROR(PROPERTIES[[#This Row],[TE_STARTING_KN]]/(PROPERTIES[[#This Row],[WEIGHT]]*9.81),0)</f>
        <v>0.25798819546695861</v>
      </c>
      <c r="U244" s="25">
        <v>0.25</v>
      </c>
      <c r="V244" s="22">
        <f>ROUND(IF(IFERROR(PROPERTIES[[#This Row],[TE_COEFFICIENT_CALC]],0)=0,PROPERTIES[[#This Row],[TE_COEFFICIENT_MANUAL]],PROPERTIES[[#This Row],[TE_COEFFICIENT_CALC]]),3)</f>
        <v>0.25800000000000001</v>
      </c>
      <c r="W244" s="10" cm="1">
        <f t="array" ref="W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4" s="32">
        <v>0</v>
      </c>
      <c r="Y244" s="8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8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9" t="b">
        <v>0</v>
      </c>
      <c r="AY244"/>
      <c r="AZ244"/>
      <c r="BA244"/>
    </row>
    <row r="245" spans="1:53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t="s">
        <v>1728</v>
      </c>
      <c r="F245" t="str">
        <f>_xlfn.XLOOKUP(PROPERTIES[[#This Row],[COUNTRY]],COUNTRIES[COUNTRY_DESCRIPTION],COUNTRIES[COUNTRY_LABEL],"")</f>
        <v>BR</v>
      </c>
      <c r="G245" t="str" cm="1">
        <f t="array" ref="G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5" t="s">
        <v>19</v>
      </c>
      <c r="I245">
        <v>0</v>
      </c>
      <c r="J245">
        <v>8</v>
      </c>
      <c r="K245">
        <v>8</v>
      </c>
      <c r="L245" t="str" cm="1">
        <f t="array" ref="L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5">
        <f>_xlfn.XLOOKUP("LOADINGSPEEDDEF_"&amp;PROPERTIES[[#This Row],[LOADINGSPEED]],LOADINGSPEEDDEF[TYPE],LOADINGSPEEDDEF[SPEED])</f>
        <v>20</v>
      </c>
      <c r="N245" cm="1">
        <f t="array" ref="N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5">
        <f>IF(ISNUMBER(SEARCH("passenger",PROPERTIES[[#This Row],[CARGODEF]])),1,0)</f>
        <v>0</v>
      </c>
      <c r="P245" s="29">
        <v>148</v>
      </c>
      <c r="Q245">
        <v>1600</v>
      </c>
      <c r="R245">
        <v>100</v>
      </c>
      <c r="S245" s="26">
        <v>434</v>
      </c>
      <c r="T245" s="25">
        <f>IFERROR(PROPERTIES[[#This Row],[TE_STARTING_KN]]/(PROPERTIES[[#This Row],[WEIGHT]]*9.81),0)</f>
        <v>0.29892277598699613</v>
      </c>
      <c r="U245" s="25">
        <v>0.24</v>
      </c>
      <c r="V245" s="22">
        <f>ROUND(IF(IFERROR(PROPERTIES[[#This Row],[TE_COEFFICIENT_CALC]],0)=0,PROPERTIES[[#This Row],[TE_COEFFICIENT_MANUAL]],PROPERTIES[[#This Row],[TE_COEFFICIENT_CALC]]),3)</f>
        <v>0.29899999999999999</v>
      </c>
      <c r="W245" s="10" cm="1">
        <f t="array" ref="W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5" s="32">
        <v>0</v>
      </c>
      <c r="Y245" s="8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8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9" t="b">
        <v>0</v>
      </c>
      <c r="AY245"/>
      <c r="AZ245"/>
      <c r="BA245"/>
    </row>
    <row r="246" spans="1:53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t="s">
        <v>1853</v>
      </c>
      <c r="F246" t="str">
        <f>_xlfn.XLOOKUP(PROPERTIES[[#This Row],[COUNTRY]],COUNTRIES[COUNTRY_DESCRIPTION],COUNTRIES[COUNTRY_LABEL],"")</f>
        <v>MX</v>
      </c>
      <c r="G246" t="str" cm="1">
        <f t="array" ref="G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6" t="s">
        <v>19</v>
      </c>
      <c r="I246">
        <v>0</v>
      </c>
      <c r="J246">
        <v>8</v>
      </c>
      <c r="K246">
        <v>8</v>
      </c>
      <c r="L246" t="str" cm="1">
        <f t="array" ref="L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6">
        <f>_xlfn.XLOOKUP("LOADINGSPEEDDEF_"&amp;PROPERTIES[[#This Row],[LOADINGSPEED]],LOADINGSPEEDDEF[TYPE],LOADINGSPEEDDEF[SPEED])</f>
        <v>20</v>
      </c>
      <c r="N246" cm="1">
        <f t="array" ref="N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6">
        <f>IF(ISNUMBER(SEARCH("passenger",PROPERTIES[[#This Row],[CARGODEF]])),1,0)</f>
        <v>0</v>
      </c>
      <c r="P246" s="29">
        <v>113</v>
      </c>
      <c r="Q246">
        <v>1600</v>
      </c>
      <c r="R246">
        <v>105</v>
      </c>
      <c r="S246" s="26">
        <v>187.4</v>
      </c>
      <c r="T246" s="25">
        <f>IFERROR(PROPERTIES[[#This Row],[TE_STARTING_KN]]/(PROPERTIES[[#This Row],[WEIGHT]]*9.81),0)</f>
        <v>0.16905270944403852</v>
      </c>
      <c r="U246" s="25">
        <v>0.17</v>
      </c>
      <c r="V246" s="22">
        <f>ROUND(IF(IFERROR(PROPERTIES[[#This Row],[TE_COEFFICIENT_CALC]],0)=0,PROPERTIES[[#This Row],[TE_COEFFICIENT_MANUAL]],PROPERTIES[[#This Row],[TE_COEFFICIENT_CALC]]),3)</f>
        <v>0.16900000000000001</v>
      </c>
      <c r="W246" s="10" cm="1">
        <f t="array" ref="W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6" s="32">
        <v>0</v>
      </c>
      <c r="Y246" s="8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8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9" t="b">
        <v>0</v>
      </c>
      <c r="AY246"/>
      <c r="AZ246"/>
      <c r="BA246"/>
    </row>
    <row r="247" spans="1:53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t="s">
        <v>1710</v>
      </c>
      <c r="F247" t="str">
        <f>_xlfn.XLOOKUP(PROPERTIES[[#This Row],[COUNTRY]],COUNTRIES[COUNTRY_DESCRIPTION],COUNTRIES[COUNTRY_LABEL],"")</f>
        <v>AU</v>
      </c>
      <c r="G247" t="str" cm="1">
        <f t="array" ref="G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7" t="s">
        <v>19</v>
      </c>
      <c r="I247">
        <v>0</v>
      </c>
      <c r="J247">
        <v>8</v>
      </c>
      <c r="K247">
        <v>8</v>
      </c>
      <c r="L247" t="str" cm="1">
        <f t="array" ref="L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7">
        <f>_xlfn.XLOOKUP("LOADINGSPEEDDEF_"&amp;PROPERTIES[[#This Row],[LOADINGSPEED]],LOADINGSPEEDDEF[TYPE],LOADINGSPEEDDEF[SPEED])</f>
        <v>20</v>
      </c>
      <c r="N247" cm="1">
        <f t="array" ref="N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7">
        <f>IF(ISNUMBER(SEARCH("passenger",PROPERTIES[[#This Row],[CARGODEF]])),1,0)</f>
        <v>0</v>
      </c>
      <c r="P247" s="29">
        <v>121</v>
      </c>
      <c r="Q247">
        <v>1590</v>
      </c>
      <c r="R247">
        <v>121</v>
      </c>
      <c r="S247" s="26">
        <v>249.1</v>
      </c>
      <c r="T247" s="25">
        <f>IFERROR(PROPERTIES[[#This Row],[TE_STARTING_KN]]/(PROPERTIES[[#This Row],[WEIGHT]]*9.81),0)</f>
        <v>0.20985501385834998</v>
      </c>
      <c r="U247" s="25">
        <v>0.12</v>
      </c>
      <c r="V247" s="22">
        <f>ROUND(IF(IFERROR(PROPERTIES[[#This Row],[TE_COEFFICIENT_CALC]],0)=0,PROPERTIES[[#This Row],[TE_COEFFICIENT_MANUAL]],PROPERTIES[[#This Row],[TE_COEFFICIENT_CALC]]),3)</f>
        <v>0.21</v>
      </c>
      <c r="W247" s="10" cm="1">
        <f t="array" ref="W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7" s="32">
        <v>0</v>
      </c>
      <c r="Y247" s="8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8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9" t="b">
        <v>0</v>
      </c>
      <c r="AY247"/>
      <c r="AZ247"/>
      <c r="BA247"/>
    </row>
    <row r="248" spans="1:53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t="s">
        <v>1826</v>
      </c>
      <c r="F248" t="str">
        <f>_xlfn.XLOOKUP(PROPERTIES[[#This Row],[COUNTRY]],COUNTRIES[COUNTRY_DESCRIPTION],COUNTRIES[COUNTRY_LABEL],"")</f>
        <v>LK</v>
      </c>
      <c r="G248" t="str" cm="1">
        <f t="array" ref="G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8" t="s">
        <v>19</v>
      </c>
      <c r="I248">
        <v>0</v>
      </c>
      <c r="J248">
        <v>6</v>
      </c>
      <c r="K248">
        <v>6</v>
      </c>
      <c r="L248" t="str" cm="1">
        <f t="array" ref="L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8">
        <f>_xlfn.XLOOKUP("LOADINGSPEEDDEF_"&amp;PROPERTIES[[#This Row],[LOADINGSPEED]],LOADINGSPEEDDEF[TYPE],LOADINGSPEEDDEF[SPEED])</f>
        <v>20</v>
      </c>
      <c r="N248" t="str" cm="1">
        <f t="array" ref="N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8">
        <f>IF(ISNUMBER(SEARCH("passenger",PROPERTIES[[#This Row],[CARGODEF]])),1,0)</f>
        <v>0</v>
      </c>
      <c r="P248" s="29">
        <v>79</v>
      </c>
      <c r="Q248">
        <v>1425</v>
      </c>
      <c r="R248">
        <v>112</v>
      </c>
      <c r="S248" s="26">
        <v>0</v>
      </c>
      <c r="T248" s="25">
        <f>IFERROR(PROPERTIES[[#This Row],[TE_STARTING_KN]]/(PROPERTIES[[#This Row],[WEIGHT]]*9.81),0)</f>
        <v>0</v>
      </c>
      <c r="U248" s="25">
        <v>0.24</v>
      </c>
      <c r="V248" s="22">
        <f>ROUND(IF(IFERROR(PROPERTIES[[#This Row],[TE_COEFFICIENT_CALC]],0)=0,PROPERTIES[[#This Row],[TE_COEFFICIENT_MANUAL]],PROPERTIES[[#This Row],[TE_COEFFICIENT_CALC]]),3)</f>
        <v>0.24</v>
      </c>
      <c r="W248" s="10" cm="1">
        <f t="array" ref="W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248" s="32">
        <v>0</v>
      </c>
      <c r="Y248" s="8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8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9" t="b">
        <v>0</v>
      </c>
      <c r="AY248"/>
      <c r="AZ248"/>
      <c r="BA248"/>
    </row>
    <row r="249" spans="1:53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t="s">
        <v>1798</v>
      </c>
      <c r="F249" t="str">
        <f>_xlfn.XLOOKUP(PROPERTIES[[#This Row],[COUNTRY]],COUNTRIES[COUNTRY_DESCRIPTION],COUNTRIES[COUNTRY_LABEL],"")</f>
        <v>IE</v>
      </c>
      <c r="G249" t="str" cm="1">
        <f t="array" ref="G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9" t="s">
        <v>19</v>
      </c>
      <c r="I249">
        <v>0</v>
      </c>
      <c r="J249">
        <v>7</v>
      </c>
      <c r="K249">
        <v>7</v>
      </c>
      <c r="L249" t="str" cm="1">
        <f t="array" ref="L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9">
        <f>_xlfn.XLOOKUP("LOADINGSPEEDDEF_"&amp;PROPERTIES[[#This Row],[LOADINGSPEED]],LOADINGSPEEDDEF[TYPE],LOADINGSPEEDDEF[SPEED])</f>
        <v>20</v>
      </c>
      <c r="N249" cm="1">
        <f t="array" ref="N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9">
        <f>IF(ISNUMBER(SEARCH("passenger",PROPERTIES[[#This Row],[CARGODEF]])),1,0)</f>
        <v>0</v>
      </c>
      <c r="P249" s="29">
        <v>82</v>
      </c>
      <c r="Q249">
        <v>1325</v>
      </c>
      <c r="R249">
        <v>120</v>
      </c>
      <c r="S249" s="26">
        <v>275</v>
      </c>
      <c r="T249" s="25">
        <f>IFERROR(PROPERTIES[[#This Row],[TE_STARTING_KN]]/(PROPERTIES[[#This Row],[WEIGHT]]*9.81),0)</f>
        <v>0.34186121677730535</v>
      </c>
      <c r="U249" s="25">
        <v>0.33</v>
      </c>
      <c r="V249" s="22">
        <f>ROUND(IF(IFERROR(PROPERTIES[[#This Row],[TE_COEFFICIENT_CALC]],0)=0,PROPERTIES[[#This Row],[TE_COEFFICIENT_MANUAL]],PROPERTIES[[#This Row],[TE_COEFFICIENT_CALC]]),3)</f>
        <v>0.34200000000000003</v>
      </c>
      <c r="W249" s="10" cm="1">
        <f t="array" ref="W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9" s="32">
        <v>0</v>
      </c>
      <c r="Y249" s="8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8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9" t="b">
        <v>0</v>
      </c>
      <c r="AY249"/>
      <c r="AZ249"/>
      <c r="BA249"/>
    </row>
    <row r="250" spans="1:53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t="s">
        <v>1806</v>
      </c>
      <c r="F250" t="str">
        <f>_xlfn.XLOOKUP(PROPERTIES[[#This Row],[COUNTRY]],COUNTRIES[COUNTRY_DESCRIPTION],COUNTRIES[COUNTRY_LABEL],"")</f>
        <v>IT</v>
      </c>
      <c r="G250" t="str" cm="1">
        <f t="array" ref="G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0" t="s">
        <v>19</v>
      </c>
      <c r="I250">
        <v>0</v>
      </c>
      <c r="J250">
        <v>8</v>
      </c>
      <c r="K250">
        <v>8</v>
      </c>
      <c r="L250" t="str" cm="1">
        <f t="array" ref="L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0">
        <f>_xlfn.XLOOKUP("LOADINGSPEEDDEF_"&amp;PROPERTIES[[#This Row],[LOADINGSPEED]],LOADINGSPEEDDEF[TYPE],LOADINGSPEEDDEF[SPEED])</f>
        <v>20</v>
      </c>
      <c r="N250" t="str" cm="1">
        <f t="array" ref="N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0">
        <f>IF(ISNUMBER(SEARCH("passenger",PROPERTIES[[#This Row],[CARGODEF]])),1,0)</f>
        <v>0</v>
      </c>
      <c r="P250" s="29">
        <v>67</v>
      </c>
      <c r="Q250">
        <v>1380</v>
      </c>
      <c r="R250">
        <v>110</v>
      </c>
      <c r="S250" s="26">
        <v>0</v>
      </c>
      <c r="T250" s="25">
        <f>IFERROR(PROPERTIES[[#This Row],[TE_STARTING_KN]]/(PROPERTIES[[#This Row],[WEIGHT]]*9.81),0)</f>
        <v>0</v>
      </c>
      <c r="U250" s="25">
        <v>0.26</v>
      </c>
      <c r="V250" s="22">
        <f>ROUND(IF(IFERROR(PROPERTIES[[#This Row],[TE_COEFFICIENT_CALC]],0)=0,PROPERTIES[[#This Row],[TE_COEFFICIENT_MANUAL]],PROPERTIES[[#This Row],[TE_COEFFICIENT_CALC]]),3)</f>
        <v>0.26</v>
      </c>
      <c r="W250" s="10" cm="1">
        <f t="array" ref="W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250" s="32">
        <v>0</v>
      </c>
      <c r="Y250" s="8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8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9" t="b">
        <v>0</v>
      </c>
      <c r="AY250"/>
      <c r="AZ250"/>
      <c r="BA250"/>
    </row>
    <row r="251" spans="1:53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t="s">
        <v>1710</v>
      </c>
      <c r="F251" t="str">
        <f>_xlfn.XLOOKUP(PROPERTIES[[#This Row],[COUNTRY]],COUNTRIES[COUNTRY_DESCRIPTION],COUNTRIES[COUNTRY_LABEL],"")</f>
        <v>AU</v>
      </c>
      <c r="G251" t="str" cm="1">
        <f t="array" ref="G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1" t="s">
        <v>19</v>
      </c>
      <c r="I251">
        <v>0</v>
      </c>
      <c r="J251">
        <v>8</v>
      </c>
      <c r="K251">
        <v>8</v>
      </c>
      <c r="L251" t="str" cm="1">
        <f t="array" ref="L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1">
        <f>_xlfn.XLOOKUP("LOADINGSPEEDDEF_"&amp;PROPERTIES[[#This Row],[LOADINGSPEED]],LOADINGSPEEDDEF[TYPE],LOADINGSPEEDDEF[SPEED])</f>
        <v>20</v>
      </c>
      <c r="N251" cm="1">
        <f t="array" ref="N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1">
        <f>IF(ISNUMBER(SEARCH("passenger",PROPERTIES[[#This Row],[CARGODEF]])),1,0)</f>
        <v>0</v>
      </c>
      <c r="P251" s="29">
        <v>112</v>
      </c>
      <c r="Q251">
        <v>1950</v>
      </c>
      <c r="R251">
        <v>129</v>
      </c>
      <c r="S251" s="26">
        <v>254</v>
      </c>
      <c r="T251" s="25">
        <f>IFERROR(PROPERTIES[[#This Row],[TE_STARTING_KN]]/(PROPERTIES[[#This Row],[WEIGHT]]*9.81),0)</f>
        <v>0.23117809815057522</v>
      </c>
      <c r="U251" s="25">
        <v>0.19</v>
      </c>
      <c r="V251" s="22">
        <f>ROUND(IF(IFERROR(PROPERTIES[[#This Row],[TE_COEFFICIENT_CALC]],0)=0,PROPERTIES[[#This Row],[TE_COEFFICIENT_MANUAL]],PROPERTIES[[#This Row],[TE_COEFFICIENT_CALC]]),3)</f>
        <v>0.23100000000000001</v>
      </c>
      <c r="W251" s="10" cm="1">
        <f t="array" ref="W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1" s="32">
        <v>0</v>
      </c>
      <c r="Y251" s="8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8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9" t="b">
        <v>0</v>
      </c>
      <c r="AY251"/>
      <c r="AZ251"/>
      <c r="BA251"/>
    </row>
    <row r="252" spans="1:53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t="s">
        <v>1944</v>
      </c>
      <c r="F252" t="str">
        <f>_xlfn.XLOOKUP(PROPERTIES[[#This Row],[COUNTRY]],COUNTRIES[COUNTRY_DESCRIPTION],COUNTRIES[COUNTRY_LABEL],"")</f>
        <v>ZW</v>
      </c>
      <c r="G252" t="str" cm="1">
        <f t="array" ref="G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2" t="s">
        <v>19</v>
      </c>
      <c r="I252">
        <v>0</v>
      </c>
      <c r="J252">
        <v>8</v>
      </c>
      <c r="K252">
        <v>8</v>
      </c>
      <c r="L252" t="str" cm="1">
        <f t="array" ref="L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2">
        <f>_xlfn.XLOOKUP("LOADINGSPEEDDEF_"&amp;PROPERTIES[[#This Row],[LOADINGSPEED]],LOADINGSPEEDDEF[TYPE],LOADINGSPEEDDEF[SPEED])</f>
        <v>20</v>
      </c>
      <c r="N252" cm="1">
        <f t="array" ref="N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2">
        <f>IF(ISNUMBER(SEARCH("passenger",PROPERTIES[[#This Row],[CARGODEF]])),1,0)</f>
        <v>0</v>
      </c>
      <c r="P252" s="29">
        <v>76</v>
      </c>
      <c r="Q252">
        <v>1316</v>
      </c>
      <c r="R252">
        <v>89</v>
      </c>
      <c r="S252" s="26">
        <v>197.2</v>
      </c>
      <c r="T252" s="25">
        <f>IFERROR(PROPERTIES[[#This Row],[TE_STARTING_KN]]/(PROPERTIES[[#This Row],[WEIGHT]]*9.81),0)</f>
        <v>0.26449916841032239</v>
      </c>
      <c r="U252" s="25">
        <v>0.26</v>
      </c>
      <c r="V252" s="22">
        <f>ROUND(IF(IFERROR(PROPERTIES[[#This Row],[TE_COEFFICIENT_CALC]],0)=0,PROPERTIES[[#This Row],[TE_COEFFICIENT_MANUAL]],PROPERTIES[[#This Row],[TE_COEFFICIENT_CALC]]),3)</f>
        <v>0.26400000000000001</v>
      </c>
      <c r="W252" s="10" cm="1">
        <f t="array" ref="W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2" s="32">
        <v>0</v>
      </c>
      <c r="Y252" s="8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8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9" t="b">
        <v>0</v>
      </c>
      <c r="AY252"/>
      <c r="AZ252"/>
      <c r="BA252"/>
    </row>
    <row r="253" spans="1:53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t="s">
        <v>1818</v>
      </c>
      <c r="F253" t="str">
        <f>_xlfn.XLOOKUP(PROPERTIES[[#This Row],[COUNTRY]],COUNTRIES[COUNTRY_DESCRIPTION],COUNTRIES[COUNTRY_LABEL],"")</f>
        <v>KR</v>
      </c>
      <c r="G253" t="str" cm="1">
        <f t="array" ref="G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3" t="s">
        <v>19</v>
      </c>
      <c r="I253">
        <v>0</v>
      </c>
      <c r="J253">
        <v>8</v>
      </c>
      <c r="K253">
        <v>8</v>
      </c>
      <c r="L253" t="str" cm="1">
        <f t="array" ref="L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3">
        <f>_xlfn.XLOOKUP("LOADINGSPEEDDEF_"&amp;PROPERTIES[[#This Row],[LOADINGSPEED]],LOADINGSPEEDDEF[TYPE],LOADINGSPEEDDEF[SPEED])</f>
        <v>20</v>
      </c>
      <c r="N253" cm="1">
        <f t="array" ref="N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3">
        <f>IF(ISNUMBER(SEARCH("passenger",PROPERTIES[[#This Row],[CARGODEF]])),1,0)</f>
        <v>0</v>
      </c>
      <c r="P253" s="29">
        <v>177</v>
      </c>
      <c r="Q253">
        <v>1800</v>
      </c>
      <c r="R253">
        <v>104</v>
      </c>
      <c r="S253" s="26">
        <v>433</v>
      </c>
      <c r="T253" s="25">
        <f>IFERROR(PROPERTIES[[#This Row],[TE_STARTING_KN]]/(PROPERTIES[[#This Row],[WEIGHT]]*9.81),0)</f>
        <v>0.2493708138242425</v>
      </c>
      <c r="U253" s="25">
        <v>0.09</v>
      </c>
      <c r="V253" s="22">
        <f>ROUND(IF(IFERROR(PROPERTIES[[#This Row],[TE_COEFFICIENT_CALC]],0)=0,PROPERTIES[[#This Row],[TE_COEFFICIENT_MANUAL]],PROPERTIES[[#This Row],[TE_COEFFICIENT_CALC]]),3)</f>
        <v>0.249</v>
      </c>
      <c r="W253" s="10" cm="1">
        <f t="array" ref="W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3" s="32">
        <v>0</v>
      </c>
      <c r="Y253" s="8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8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9" t="b">
        <v>0</v>
      </c>
      <c r="AY253"/>
      <c r="AZ253"/>
      <c r="BA253"/>
    </row>
    <row r="254" spans="1:53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t="s">
        <v>1806</v>
      </c>
      <c r="F254" t="str">
        <f>_xlfn.XLOOKUP(PROPERTIES[[#This Row],[COUNTRY]],COUNTRIES[COUNTRY_DESCRIPTION],COUNTRIES[COUNTRY_LABEL],"")</f>
        <v>IT</v>
      </c>
      <c r="G254" t="str" cm="1">
        <f t="array" ref="G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4" t="s">
        <v>19</v>
      </c>
      <c r="I254">
        <v>0</v>
      </c>
      <c r="J254">
        <v>8</v>
      </c>
      <c r="K254">
        <v>8</v>
      </c>
      <c r="L254" t="str" cm="1">
        <f t="array" ref="L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4">
        <f>_xlfn.XLOOKUP("LOADINGSPEEDDEF_"&amp;PROPERTIES[[#This Row],[LOADINGSPEED]],LOADINGSPEEDDEF[TYPE],LOADINGSPEEDDEF[SPEED])</f>
        <v>20</v>
      </c>
      <c r="N254" t="str" cm="1">
        <f t="array" ref="N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4">
        <f>IF(ISNUMBER(SEARCH("passenger",PROPERTIES[[#This Row],[CARGODEF]])),1,0)</f>
        <v>0</v>
      </c>
      <c r="P254" s="29">
        <v>62</v>
      </c>
      <c r="Q254">
        <v>1010</v>
      </c>
      <c r="R254">
        <v>130</v>
      </c>
      <c r="S254" s="26">
        <v>0</v>
      </c>
      <c r="T254" s="25">
        <f>IFERROR(PROPERTIES[[#This Row],[TE_STARTING_KN]]/(PROPERTIES[[#This Row],[WEIGHT]]*9.81),0)</f>
        <v>0</v>
      </c>
      <c r="U254" s="25">
        <v>0.3</v>
      </c>
      <c r="V254" s="22">
        <f>ROUND(IF(IFERROR(PROPERTIES[[#This Row],[TE_COEFFICIENT_CALC]],0)=0,PROPERTIES[[#This Row],[TE_COEFFICIENT_MANUAL]],PROPERTIES[[#This Row],[TE_COEFFICIENT_CALC]]),3)</f>
        <v>0.3</v>
      </c>
      <c r="W254" s="10" cm="1">
        <f t="array" ref="W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54" s="32">
        <v>0</v>
      </c>
      <c r="Y254" s="8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8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9" t="b">
        <v>0</v>
      </c>
      <c r="AY254"/>
      <c r="AZ254"/>
      <c r="BA254"/>
    </row>
    <row r="255" spans="1:53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t="s">
        <v>1863</v>
      </c>
      <c r="F255" t="str">
        <f>_xlfn.XLOOKUP(PROPERTIES[[#This Row],[COUNTRY]],COUNTRIES[COUNTRY_DESCRIPTION],COUNTRIES[COUNTRY_LABEL],"")</f>
        <v>NO</v>
      </c>
      <c r="G255" t="str" cm="1">
        <f t="array" ref="G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5" t="s">
        <v>19</v>
      </c>
      <c r="I255">
        <v>0</v>
      </c>
      <c r="J255">
        <v>8</v>
      </c>
      <c r="K255">
        <v>8</v>
      </c>
      <c r="L255" t="str" cm="1">
        <f t="array" ref="L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5">
        <f>_xlfn.XLOOKUP("LOADINGSPEEDDEF_"&amp;PROPERTIES[[#This Row],[LOADINGSPEED]],LOADINGSPEEDDEF[TYPE],LOADINGSPEEDDEF[SPEED])</f>
        <v>20</v>
      </c>
      <c r="N255" t="str" cm="1">
        <f t="array" ref="N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5">
        <f>IF(ISNUMBER(SEARCH("passenger",PROPERTIES[[#This Row],[CARGODEF]])),1,0)</f>
        <v>0</v>
      </c>
      <c r="P255" s="29">
        <v>120</v>
      </c>
      <c r="Q255">
        <v>3290</v>
      </c>
      <c r="R255">
        <v>140</v>
      </c>
      <c r="S255" s="26">
        <v>360</v>
      </c>
      <c r="T255" s="25">
        <f>IFERROR(PROPERTIES[[#This Row],[TE_STARTING_KN]]/(PROPERTIES[[#This Row],[WEIGHT]]*9.81),0)</f>
        <v>0.3058103975535168</v>
      </c>
      <c r="U255" s="25">
        <v>0.32</v>
      </c>
      <c r="V255" s="22">
        <f>ROUND(IF(IFERROR(PROPERTIES[[#This Row],[TE_COEFFICIENT_CALC]],0)=0,PROPERTIES[[#This Row],[TE_COEFFICIENT_MANUAL]],PROPERTIES[[#This Row],[TE_COEFFICIENT_CALC]]),3)</f>
        <v>0.30599999999999999</v>
      </c>
      <c r="W255" s="10" cm="1">
        <f t="array" ref="W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255" s="32">
        <v>0</v>
      </c>
      <c r="Y255" s="8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8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9" t="b">
        <v>0</v>
      </c>
      <c r="AY255"/>
      <c r="AZ255"/>
      <c r="BA255"/>
    </row>
    <row r="256" spans="1:53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t="s">
        <v>1745</v>
      </c>
      <c r="F256" t="str">
        <f>_xlfn.XLOOKUP(PROPERTIES[[#This Row],[COUNTRY]],COUNTRIES[COUNTRY_DESCRIPTION],COUNTRIES[COUNTRY_LABEL],"")</f>
        <v>CN</v>
      </c>
      <c r="G256" t="str" cm="1">
        <f t="array" ref="G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6" t="s">
        <v>19</v>
      </c>
      <c r="I256">
        <v>0</v>
      </c>
      <c r="J256">
        <v>8</v>
      </c>
      <c r="K256">
        <v>8</v>
      </c>
      <c r="L256" t="str" cm="1">
        <f t="array" ref="L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6">
        <f>_xlfn.XLOOKUP("LOADINGSPEEDDEF_"&amp;PROPERTIES[[#This Row],[LOADINGSPEED]],LOADINGSPEEDDEF[TYPE],LOADINGSPEEDDEF[SPEED])</f>
        <v>20</v>
      </c>
      <c r="N256" cm="1">
        <f t="array" ref="N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6">
        <f>IF(ISNUMBER(SEARCH("passenger",PROPERTIES[[#This Row],[CARGODEF]])),1,0)</f>
        <v>0</v>
      </c>
      <c r="P256" s="29">
        <v>150</v>
      </c>
      <c r="Q256">
        <v>4930</v>
      </c>
      <c r="R256">
        <v>100</v>
      </c>
      <c r="S256" s="26">
        <v>480</v>
      </c>
      <c r="T256" s="25">
        <f>IFERROR(PROPERTIES[[#This Row],[TE_STARTING_KN]]/(PROPERTIES[[#This Row],[WEIGHT]]*9.81),0)</f>
        <v>0.32619775739041795</v>
      </c>
      <c r="U256" s="25">
        <v>0.35</v>
      </c>
      <c r="V256" s="22">
        <f>ROUND(IF(IFERROR(PROPERTIES[[#This Row],[TE_COEFFICIENT_CALC]],0)=0,PROPERTIES[[#This Row],[TE_COEFFICIENT_MANUAL]],PROPERTIES[[#This Row],[TE_COEFFICIENT_CALC]]),3)</f>
        <v>0.32600000000000001</v>
      </c>
      <c r="W256" s="10" cm="1">
        <f t="array" ref="W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6" s="32">
        <v>0</v>
      </c>
      <c r="Y256" s="8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8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9" t="b">
        <v>0</v>
      </c>
      <c r="AY256"/>
      <c r="AZ256"/>
      <c r="BA256"/>
    </row>
    <row r="257" spans="1:53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t="s">
        <v>1710</v>
      </c>
      <c r="F257" t="str">
        <f>_xlfn.XLOOKUP(PROPERTIES[[#This Row],[COUNTRY]],COUNTRIES[COUNTRY_DESCRIPTION],COUNTRIES[COUNTRY_LABEL],"")</f>
        <v>AU</v>
      </c>
      <c r="G257" t="str" cm="1">
        <f t="array" ref="G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7" t="s">
        <v>19</v>
      </c>
      <c r="I257">
        <v>0</v>
      </c>
      <c r="J257">
        <v>8</v>
      </c>
      <c r="K257">
        <v>8</v>
      </c>
      <c r="L257" t="str" cm="1">
        <f t="array" ref="L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7">
        <f>_xlfn.XLOOKUP("LOADINGSPEEDDEF_"&amp;PROPERTIES[[#This Row],[LOADINGSPEED]],LOADINGSPEEDDEF[TYPE],LOADINGSPEEDDEF[SPEED])</f>
        <v>20</v>
      </c>
      <c r="N257" t="str" cm="1">
        <f t="array" ref="N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7">
        <f>IF(ISNUMBER(SEARCH("passenger",PROPERTIES[[#This Row],[CARGODEF]])),1,0)</f>
        <v>0</v>
      </c>
      <c r="P257" s="29">
        <v>127</v>
      </c>
      <c r="Q257">
        <v>3000</v>
      </c>
      <c r="R257">
        <v>114</v>
      </c>
      <c r="S257" s="26">
        <v>337</v>
      </c>
      <c r="T257" s="25">
        <f>IFERROR(PROPERTIES[[#This Row],[TE_STARTING_KN]]/(PROPERTIES[[#This Row],[WEIGHT]]*9.81),0)</f>
        <v>0.27049371122187704</v>
      </c>
      <c r="U257" s="25">
        <v>0.27</v>
      </c>
      <c r="V257" s="22">
        <f>ROUND(IF(IFERROR(PROPERTIES[[#This Row],[TE_COEFFICIENT_CALC]],0)=0,PROPERTIES[[#This Row],[TE_COEFFICIENT_MANUAL]],PROPERTIES[[#This Row],[TE_COEFFICIENT_CALC]]),3)</f>
        <v>0.27</v>
      </c>
      <c r="W257" s="10" cm="1">
        <f t="array" ref="W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57" s="32">
        <v>0</v>
      </c>
      <c r="Y257" s="8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8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9" t="b">
        <v>0</v>
      </c>
      <c r="AY257"/>
      <c r="AZ257"/>
      <c r="BA257"/>
    </row>
    <row r="258" spans="1:53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t="s">
        <v>1773</v>
      </c>
      <c r="F258" t="str">
        <f>_xlfn.XLOOKUP(PROPERTIES[[#This Row],[COUNTRY]],COUNTRIES[COUNTRY_DESCRIPTION],COUNTRIES[COUNTRY_LABEL],"")</f>
        <v>GB</v>
      </c>
      <c r="G258" t="str" cm="1">
        <f t="array" ref="G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8" t="s">
        <v>19</v>
      </c>
      <c r="I258">
        <v>0</v>
      </c>
      <c r="J258">
        <v>8</v>
      </c>
      <c r="K258">
        <v>8</v>
      </c>
      <c r="L258" t="str" cm="1">
        <f t="array" ref="L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8">
        <f>_xlfn.XLOOKUP("LOADINGSPEEDDEF_"&amp;PROPERTIES[[#This Row],[LOADINGSPEED]],LOADINGSPEEDDEF[TYPE],LOADINGSPEEDDEF[SPEED])</f>
        <v>20</v>
      </c>
      <c r="N258" t="str" cm="1">
        <f t="array" ref="N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8">
        <f>IF(ISNUMBER(SEARCH("passenger",PROPERTIES[[#This Row],[CARGODEF]])),1,0)</f>
        <v>0</v>
      </c>
      <c r="P258" s="29">
        <v>130</v>
      </c>
      <c r="Q258">
        <v>3100</v>
      </c>
      <c r="R258">
        <v>97</v>
      </c>
      <c r="S258" s="26">
        <v>474</v>
      </c>
      <c r="T258" s="25">
        <f>IFERROR(PROPERTIES[[#This Row],[TE_STARTING_KN]]/(PROPERTIES[[#This Row],[WEIGHT]]*9.81),0)</f>
        <v>0.37167725241119737</v>
      </c>
      <c r="U258" s="25">
        <v>0.36</v>
      </c>
      <c r="V258" s="22">
        <f>ROUND(IF(IFERROR(PROPERTIES[[#This Row],[TE_COEFFICIENT_CALC]],0)=0,PROPERTIES[[#This Row],[TE_COEFFICIENT_MANUAL]],PROPERTIES[[#This Row],[TE_COEFFICIENT_CALC]]),3)</f>
        <v>0.372</v>
      </c>
      <c r="W258" s="10" cm="1">
        <f t="array" ref="W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8" s="32">
        <v>0</v>
      </c>
      <c r="Y258" s="8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8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9" t="b">
        <v>0</v>
      </c>
      <c r="AY258"/>
      <c r="AZ258"/>
      <c r="BA258"/>
    </row>
    <row r="259" spans="1:53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t="s">
        <v>1710</v>
      </c>
      <c r="F259" t="str">
        <f>_xlfn.XLOOKUP(PROPERTIES[[#This Row],[COUNTRY]],COUNTRIES[COUNTRY_DESCRIPTION],COUNTRIES[COUNTRY_LABEL],"")</f>
        <v>AU</v>
      </c>
      <c r="G259" t="str" cm="1">
        <f t="array" ref="G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9" t="s">
        <v>19</v>
      </c>
      <c r="I259">
        <v>0</v>
      </c>
      <c r="J259">
        <v>7</v>
      </c>
      <c r="K259">
        <v>7</v>
      </c>
      <c r="L259" t="str" cm="1">
        <f t="array" ref="L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9">
        <f>_xlfn.XLOOKUP("LOADINGSPEEDDEF_"&amp;PROPERTIES[[#This Row],[LOADINGSPEED]],LOADINGSPEEDDEF[TYPE],LOADINGSPEEDDEF[SPEED])</f>
        <v>20</v>
      </c>
      <c r="N259" t="str" cm="1">
        <f t="array" ref="N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9">
        <f>IF(ISNUMBER(SEARCH("passenger",PROPERTIES[[#This Row],[CARGODEF]])),1,0)</f>
        <v>0</v>
      </c>
      <c r="P259" s="29">
        <v>99</v>
      </c>
      <c r="Q259">
        <v>2450</v>
      </c>
      <c r="R259">
        <v>90</v>
      </c>
      <c r="S259" s="26">
        <v>375</v>
      </c>
      <c r="T259" s="25">
        <f>IFERROR(PROPERTIES[[#This Row],[TE_STARTING_KN]]/(PROPERTIES[[#This Row],[WEIGHT]]*9.81),0)</f>
        <v>0.38612423933524848</v>
      </c>
      <c r="U259" s="25">
        <v>0.38</v>
      </c>
      <c r="V259" s="22">
        <f>ROUND(IF(IFERROR(PROPERTIES[[#This Row],[TE_COEFFICIENT_CALC]],0)=0,PROPERTIES[[#This Row],[TE_COEFFICIENT_MANUAL]],PROPERTIES[[#This Row],[TE_COEFFICIENT_CALC]]),3)</f>
        <v>0.38600000000000001</v>
      </c>
      <c r="W259" s="10" cm="1">
        <f t="array" ref="W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59" s="32">
        <v>0</v>
      </c>
      <c r="Y259" s="8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8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9" t="b">
        <v>0</v>
      </c>
      <c r="AY259"/>
      <c r="AZ259"/>
      <c r="BA259"/>
    </row>
    <row r="260" spans="1:53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t="s">
        <v>1889</v>
      </c>
      <c r="F260" t="str">
        <f>_xlfn.XLOOKUP(PROPERTIES[[#This Row],[COUNTRY]],COUNTRIES[COUNTRY_DESCRIPTION],COUNTRIES[COUNTRY_LABEL],"")</f>
        <v>SA</v>
      </c>
      <c r="G260" t="str" cm="1">
        <f t="array" ref="G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0" t="s">
        <v>19</v>
      </c>
      <c r="I260">
        <v>0</v>
      </c>
      <c r="J260">
        <v>8</v>
      </c>
      <c r="K260">
        <v>8</v>
      </c>
      <c r="L260" t="str" cm="1">
        <f t="array" ref="L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0">
        <f>_xlfn.XLOOKUP("LOADINGSPEEDDEF_"&amp;PROPERTIES[[#This Row],[LOADINGSPEED]],LOADINGSPEEDDEF[TYPE],LOADINGSPEEDDEF[SPEED])</f>
        <v>20</v>
      </c>
      <c r="N260" t="str" cm="1">
        <f t="array" ref="N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0">
        <f>IF(ISNUMBER(SEARCH("passenger",PROPERTIES[[#This Row],[CARGODEF]])),1,0)</f>
        <v>0</v>
      </c>
      <c r="P260" s="29">
        <v>170</v>
      </c>
      <c r="Q260">
        <v>4500</v>
      </c>
      <c r="R260">
        <v>110</v>
      </c>
      <c r="S260" s="26">
        <v>850</v>
      </c>
      <c r="T260" s="25">
        <f>IFERROR(PROPERTIES[[#This Row],[TE_STARTING_KN]]/(PROPERTIES[[#This Row],[WEIGHT]]*9.81),0)</f>
        <v>0.509683995922528</v>
      </c>
      <c r="U260" s="25">
        <v>0.5</v>
      </c>
      <c r="V260" s="22">
        <f>ROUND(IF(IFERROR(PROPERTIES[[#This Row],[TE_COEFFICIENT_CALC]],0)=0,PROPERTIES[[#This Row],[TE_COEFFICIENT_MANUAL]],PROPERTIES[[#This Row],[TE_COEFFICIENT_CALC]]),3)</f>
        <v>0.51</v>
      </c>
      <c r="W260" s="10" cm="1">
        <f t="array" ref="W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0" s="32">
        <v>0</v>
      </c>
      <c r="Y260" s="8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8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9" t="b">
        <v>0</v>
      </c>
      <c r="AY260"/>
      <c r="AZ260"/>
      <c r="BA260"/>
    </row>
    <row r="261" spans="1:53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t="s">
        <v>1798</v>
      </c>
      <c r="F261" t="str">
        <f>_xlfn.XLOOKUP(PROPERTIES[[#This Row],[COUNTRY]],COUNTRIES[COUNTRY_DESCRIPTION],COUNTRIES[COUNTRY_LABEL],"")</f>
        <v>IE</v>
      </c>
      <c r="G261" t="str" cm="1">
        <f t="array" ref="G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1" t="s">
        <v>19</v>
      </c>
      <c r="I261">
        <v>0</v>
      </c>
      <c r="J261">
        <v>8</v>
      </c>
      <c r="K261">
        <v>8</v>
      </c>
      <c r="L261" t="str" cm="1">
        <f t="array" ref="L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1">
        <f>_xlfn.XLOOKUP("LOADINGSPEEDDEF_"&amp;PROPERTIES[[#This Row],[LOADINGSPEED]],LOADINGSPEEDDEF[TYPE],LOADINGSPEEDDEF[SPEED])</f>
        <v>20</v>
      </c>
      <c r="N261" t="str" cm="1">
        <f t="array" ref="N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1">
        <f>IF(ISNUMBER(SEARCH("passenger",PROPERTIES[[#This Row],[CARGODEF]])),1,0)</f>
        <v>0</v>
      </c>
      <c r="P261" s="29">
        <v>112</v>
      </c>
      <c r="Q261">
        <v>3200</v>
      </c>
      <c r="R261">
        <v>164</v>
      </c>
      <c r="S261" s="26">
        <v>190</v>
      </c>
      <c r="T261" s="25">
        <f>IFERROR(PROPERTIES[[#This Row],[TE_STARTING_KN]]/(PROPERTIES[[#This Row],[WEIGHT]]*9.81),0)</f>
        <v>0.172928498616572</v>
      </c>
      <c r="U261" s="25">
        <v>0.17</v>
      </c>
      <c r="V261" s="22">
        <f>ROUND(IF(IFERROR(PROPERTIES[[#This Row],[TE_COEFFICIENT_CALC]],0)=0,PROPERTIES[[#This Row],[TE_COEFFICIENT_MANUAL]],PROPERTIES[[#This Row],[TE_COEFFICIENT_CALC]]),3)</f>
        <v>0.17299999999999999</v>
      </c>
      <c r="W261" s="10" cm="1">
        <f t="array" ref="W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1" s="32">
        <v>0</v>
      </c>
      <c r="Y261" s="8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8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9" t="b">
        <v>0</v>
      </c>
      <c r="AY261"/>
      <c r="AZ261"/>
      <c r="BA261"/>
    </row>
    <row r="262" spans="1:53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t="s">
        <v>1928</v>
      </c>
      <c r="F262" t="str">
        <f>_xlfn.XLOOKUP(PROPERTIES[[#This Row],[COUNTRY]],COUNTRIES[COUNTRY_DESCRIPTION],COUNTRIES[COUNTRY_LABEL],"")</f>
        <v>US</v>
      </c>
      <c r="G262" t="str" cm="1">
        <f t="array" ref="G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2" t="s">
        <v>19</v>
      </c>
      <c r="I262">
        <v>0</v>
      </c>
      <c r="J262">
        <v>8</v>
      </c>
      <c r="K262">
        <v>8</v>
      </c>
      <c r="L262" t="str" cm="1">
        <f t="array" ref="L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2">
        <f>_xlfn.XLOOKUP("LOADINGSPEEDDEF_"&amp;PROPERTIES[[#This Row],[LOADINGSPEED]],LOADINGSPEEDDEF[TYPE],LOADINGSPEEDDEF[SPEED])</f>
        <v>20</v>
      </c>
      <c r="N262" t="str" cm="1">
        <f t="array" ref="N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2">
        <f>IF(ISNUMBER(SEARCH("passenger",PROPERTIES[[#This Row],[CARGODEF]])),1,0)</f>
        <v>0</v>
      </c>
      <c r="P262" s="29">
        <v>130</v>
      </c>
      <c r="Q262">
        <v>3000</v>
      </c>
      <c r="R262">
        <v>177</v>
      </c>
      <c r="S262" s="26">
        <v>0</v>
      </c>
      <c r="T262" s="25">
        <f>IFERROR(PROPERTIES[[#This Row],[TE_STARTING_KN]]/(PROPERTIES[[#This Row],[WEIGHT]]*9.81),0)</f>
        <v>0</v>
      </c>
      <c r="U262" s="25">
        <v>0.22</v>
      </c>
      <c r="V262" s="22">
        <f>ROUND(IF(IFERROR(PROPERTIES[[#This Row],[TE_COEFFICIENT_CALC]],0)=0,PROPERTIES[[#This Row],[TE_COEFFICIENT_MANUAL]],PROPERTIES[[#This Row],[TE_COEFFICIENT_CALC]]),3)</f>
        <v>0.22</v>
      </c>
      <c r="W262" s="10" cm="1">
        <f t="array" ref="W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2" s="32">
        <v>0</v>
      </c>
      <c r="Y262" s="8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8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9" t="b">
        <v>0</v>
      </c>
      <c r="AY262"/>
      <c r="AZ262"/>
      <c r="BA262"/>
    </row>
    <row r="263" spans="1:53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t="s">
        <v>1772</v>
      </c>
      <c r="F263" t="str">
        <f>_xlfn.XLOOKUP(PROPERTIES[[#This Row],[COUNTRY]],COUNTRIES[COUNTRY_DESCRIPTION],COUNTRIES[COUNTRY_LABEL],"")</f>
        <v>FR</v>
      </c>
      <c r="G263" t="str" cm="1">
        <f t="array" ref="G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3" t="s">
        <v>19</v>
      </c>
      <c r="I263">
        <v>0</v>
      </c>
      <c r="J263">
        <v>7</v>
      </c>
      <c r="K263">
        <v>7</v>
      </c>
      <c r="L263" t="str" cm="1">
        <f t="array" ref="L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3">
        <f>_xlfn.XLOOKUP("LOADINGSPEEDDEF_"&amp;PROPERTIES[[#This Row],[LOADINGSPEED]],LOADINGSPEEDDEF[TYPE],LOADINGSPEEDDEF[SPEED])</f>
        <v>20</v>
      </c>
      <c r="N263" t="str" cm="1">
        <f t="array" ref="N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3">
        <f>IF(ISNUMBER(SEARCH("passenger",PROPERTIES[[#This Row],[CARGODEF]])),1,0)</f>
        <v>0</v>
      </c>
      <c r="P263" s="29">
        <v>86</v>
      </c>
      <c r="Q263">
        <v>2010</v>
      </c>
      <c r="R263">
        <v>100</v>
      </c>
      <c r="S263" s="26">
        <v>0</v>
      </c>
      <c r="T263" s="25">
        <f>IFERROR(PROPERTIES[[#This Row],[TE_STARTING_KN]]/(PROPERTIES[[#This Row],[WEIGHT]]*9.81),0)</f>
        <v>0</v>
      </c>
      <c r="U263" s="25">
        <v>0.33</v>
      </c>
      <c r="V263" s="22">
        <f>ROUND(IF(IFERROR(PROPERTIES[[#This Row],[TE_COEFFICIENT_CALC]],0)=0,PROPERTIES[[#This Row],[TE_COEFFICIENT_MANUAL]],PROPERTIES[[#This Row],[TE_COEFFICIENT_CALC]]),3)</f>
        <v>0.33</v>
      </c>
      <c r="W263" s="10" cm="1">
        <f t="array" ref="W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3" s="32">
        <v>0</v>
      </c>
      <c r="Y263" s="8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8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9" t="b">
        <v>0</v>
      </c>
      <c r="AY263"/>
      <c r="AZ263"/>
      <c r="BA263"/>
    </row>
    <row r="264" spans="1:53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t="s">
        <v>1806</v>
      </c>
      <c r="F264" t="str">
        <f>_xlfn.XLOOKUP(PROPERTIES[[#This Row],[COUNTRY]],COUNTRIES[COUNTRY_DESCRIPTION],COUNTRIES[COUNTRY_LABEL],"")</f>
        <v>IT</v>
      </c>
      <c r="G264" t="str" cm="1">
        <f t="array" ref="G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4" t="s">
        <v>19</v>
      </c>
      <c r="I264">
        <v>0</v>
      </c>
      <c r="J264">
        <v>7</v>
      </c>
      <c r="K264">
        <v>7</v>
      </c>
      <c r="L264" t="str" cm="1">
        <f t="array" ref="L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4">
        <f>_xlfn.XLOOKUP("LOADINGSPEEDDEF_"&amp;PROPERTIES[[#This Row],[LOADINGSPEED]],LOADINGSPEEDDEF[TYPE],LOADINGSPEEDDEF[SPEED])</f>
        <v>20</v>
      </c>
      <c r="N264" t="str" cm="1">
        <f t="array" ref="N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4">
        <f>IF(ISNUMBER(SEARCH("passenger",PROPERTIES[[#This Row],[CARGODEF]])),1,0)</f>
        <v>0</v>
      </c>
      <c r="P264" s="29">
        <v>89</v>
      </c>
      <c r="Q264">
        <v>3000</v>
      </c>
      <c r="R264">
        <v>120</v>
      </c>
      <c r="S264" s="26">
        <v>275</v>
      </c>
      <c r="T264" s="25">
        <f>IFERROR(PROPERTIES[[#This Row],[TE_STARTING_KN]]/(PROPERTIES[[#This Row],[WEIGHT]]*9.81),0)</f>
        <v>0.31497325590718023</v>
      </c>
      <c r="U264" s="25">
        <v>0.32</v>
      </c>
      <c r="V264" s="22">
        <f>ROUND(IF(IFERROR(PROPERTIES[[#This Row],[TE_COEFFICIENT_CALC]],0)=0,PROPERTIES[[#This Row],[TE_COEFFICIENT_MANUAL]],PROPERTIES[[#This Row],[TE_COEFFICIENT_CALC]]),3)</f>
        <v>0.315</v>
      </c>
      <c r="W264" s="10" cm="1">
        <f t="array" ref="W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4" s="32">
        <v>0</v>
      </c>
      <c r="Y264" s="8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8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9" t="b">
        <v>0</v>
      </c>
      <c r="AY264"/>
      <c r="AZ264"/>
      <c r="BA264"/>
    </row>
    <row r="265" spans="1:53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t="s">
        <v>1735</v>
      </c>
      <c r="F265" t="str">
        <f>_xlfn.XLOOKUP(PROPERTIES[[#This Row],[COUNTRY]],COUNTRIES[COUNTRY_DESCRIPTION],COUNTRIES[COUNTRY_LABEL],"")</f>
        <v>CA</v>
      </c>
      <c r="G265" t="str" cm="1">
        <f t="array" ref="G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5" t="s">
        <v>19</v>
      </c>
      <c r="I265">
        <v>0</v>
      </c>
      <c r="J265">
        <v>8</v>
      </c>
      <c r="K265">
        <v>8</v>
      </c>
      <c r="L265" t="str" cm="1">
        <f t="array" ref="L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5">
        <f>_xlfn.XLOOKUP("LOADINGSPEEDDEF_"&amp;PROPERTIES[[#This Row],[LOADINGSPEED]],LOADINGSPEEDDEF[TYPE],LOADINGSPEEDDEF[SPEED])</f>
        <v>20</v>
      </c>
      <c r="N265" t="str" cm="1">
        <f t="array" ref="N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5">
        <f>IF(ISNUMBER(SEARCH("passenger",PROPERTIES[[#This Row],[CARGODEF]])),1,0)</f>
        <v>0</v>
      </c>
      <c r="P265" s="29">
        <v>134</v>
      </c>
      <c r="Q265">
        <v>4000</v>
      </c>
      <c r="R265">
        <v>150</v>
      </c>
      <c r="S265" s="26">
        <v>380</v>
      </c>
      <c r="T265" s="25">
        <f>IFERROR(PROPERTIES[[#This Row],[TE_STARTING_KN]]/(PROPERTIES[[#This Row],[WEIGHT]]*9.81),0)</f>
        <v>0.28907450515009053</v>
      </c>
      <c r="U265" s="25">
        <v>0.3</v>
      </c>
      <c r="V265" s="22">
        <f>ROUND(IF(IFERROR(PROPERTIES[[#This Row],[TE_COEFFICIENT_CALC]],0)=0,PROPERTIES[[#This Row],[TE_COEFFICIENT_MANUAL]],PROPERTIES[[#This Row],[TE_COEFFICIENT_CALC]]),3)</f>
        <v>0.28899999999999998</v>
      </c>
      <c r="W265" s="10" cm="1">
        <f t="array" ref="W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5" s="32">
        <v>0</v>
      </c>
      <c r="Y265" s="8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8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9" t="b">
        <v>0</v>
      </c>
      <c r="AY265"/>
      <c r="AZ265"/>
      <c r="BA265"/>
    </row>
    <row r="266" spans="1:53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t="s">
        <v>1765</v>
      </c>
      <c r="F266" t="str">
        <f>_xlfn.XLOOKUP(PROPERTIES[[#This Row],[COUNTRY]],COUNTRIES[COUNTRY_DESCRIPTION],COUNTRIES[COUNTRY_LABEL],"")</f>
        <v>ES</v>
      </c>
      <c r="G266" t="str" cm="1">
        <f t="array" ref="G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6" t="s">
        <v>19</v>
      </c>
      <c r="I266">
        <v>0</v>
      </c>
      <c r="J266">
        <v>8</v>
      </c>
      <c r="K266">
        <v>8</v>
      </c>
      <c r="L266" t="str" cm="1">
        <f t="array" ref="L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6">
        <f>_xlfn.XLOOKUP("LOADINGSPEEDDEF_"&amp;PROPERTIES[[#This Row],[LOADINGSPEED]],LOADINGSPEEDDEF[TYPE],LOADINGSPEEDDEF[SPEED])</f>
        <v>20</v>
      </c>
      <c r="N266" t="str" cm="1">
        <f t="array" ref="N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6">
        <f>IF(ISNUMBER(SEARCH("passenger",PROPERTIES[[#This Row],[CARGODEF]])),1,0)</f>
        <v>0</v>
      </c>
      <c r="P266" s="29">
        <v>80</v>
      </c>
      <c r="Q266">
        <v>3300</v>
      </c>
      <c r="R266">
        <v>200</v>
      </c>
      <c r="S266" s="26">
        <v>178</v>
      </c>
      <c r="T266" s="25">
        <f>IFERROR(PROPERTIES[[#This Row],[TE_STARTING_KN]]/(PROPERTIES[[#This Row],[WEIGHT]]*9.81),0)</f>
        <v>0.22680937818552496</v>
      </c>
      <c r="U266" s="25">
        <v>0.2</v>
      </c>
      <c r="V266" s="22">
        <f>ROUND(IF(IFERROR(PROPERTIES[[#This Row],[TE_COEFFICIENT_CALC]],0)=0,PROPERTIES[[#This Row],[TE_COEFFICIENT_MANUAL]],PROPERTIES[[#This Row],[TE_COEFFICIENT_CALC]]),3)</f>
        <v>0.22700000000000001</v>
      </c>
      <c r="W266" s="10" cm="1">
        <f t="array" ref="W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6" s="32">
        <v>0</v>
      </c>
      <c r="Y266" s="8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8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9" t="b">
        <v>0</v>
      </c>
      <c r="AY266"/>
      <c r="AZ266"/>
      <c r="BA266"/>
    </row>
    <row r="267" spans="1:53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t="s">
        <v>1797</v>
      </c>
      <c r="F267" t="str">
        <f>_xlfn.XLOOKUP(PROPERTIES[[#This Row],[COUNTRY]],COUNTRIES[COUNTRY_DESCRIPTION],COUNTRIES[COUNTRY_LABEL],"")</f>
        <v>ID</v>
      </c>
      <c r="G267" t="str" cm="1">
        <f t="array" ref="G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7" t="s">
        <v>19</v>
      </c>
      <c r="I267">
        <v>0</v>
      </c>
      <c r="J267">
        <v>8</v>
      </c>
      <c r="K267">
        <v>8</v>
      </c>
      <c r="L267" t="str" cm="1">
        <f t="array" ref="L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7">
        <f>_xlfn.XLOOKUP("LOADINGSPEEDDEF_"&amp;PROPERTIES[[#This Row],[LOADINGSPEED]],LOADINGSPEEDDEF[TYPE],LOADINGSPEEDDEF[SPEED])</f>
        <v>20</v>
      </c>
      <c r="N267" t="str" cm="1">
        <f t="array" ref="N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7">
        <f>IF(ISNUMBER(SEARCH("passenger",PROPERTIES[[#This Row],[CARGODEF]])),1,0)</f>
        <v>0</v>
      </c>
      <c r="P267" s="29">
        <v>76</v>
      </c>
      <c r="Q267">
        <v>2500</v>
      </c>
      <c r="R267">
        <v>120</v>
      </c>
      <c r="S267" s="26">
        <v>270</v>
      </c>
      <c r="T267" s="25">
        <f>IFERROR(PROPERTIES[[#This Row],[TE_STARTING_KN]]/(PROPERTIES[[#This Row],[WEIGHT]]*9.81),0)</f>
        <v>0.36214389183969092</v>
      </c>
      <c r="U267" s="25">
        <v>0.3</v>
      </c>
      <c r="V267" s="22">
        <f>ROUND(IF(IFERROR(PROPERTIES[[#This Row],[TE_COEFFICIENT_CALC]],0)=0,PROPERTIES[[#This Row],[TE_COEFFICIENT_MANUAL]],PROPERTIES[[#This Row],[TE_COEFFICIENT_CALC]]),3)</f>
        <v>0.36199999999999999</v>
      </c>
      <c r="W267" s="10" cm="1">
        <f t="array" ref="W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7" s="32">
        <v>0</v>
      </c>
      <c r="Y267" s="8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8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9" t="b">
        <v>0</v>
      </c>
      <c r="AY267"/>
      <c r="AZ267"/>
      <c r="BA267"/>
    </row>
    <row r="268" spans="1:53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t="s">
        <v>1707</v>
      </c>
      <c r="F268" t="str">
        <f>_xlfn.XLOOKUP(PROPERTIES[[#This Row],[COUNTRY]],COUNTRIES[COUNTRY_DESCRIPTION],COUNTRIES[COUNTRY_LABEL],"")</f>
        <v>AR</v>
      </c>
      <c r="G268" t="str" cm="1">
        <f t="array" ref="G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8" t="s">
        <v>19</v>
      </c>
      <c r="I268">
        <v>0</v>
      </c>
      <c r="J268">
        <v>6</v>
      </c>
      <c r="K268">
        <v>6</v>
      </c>
      <c r="L268" t="str" cm="1">
        <f t="array" ref="L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8">
        <f>_xlfn.XLOOKUP("LOADINGSPEEDDEF_"&amp;PROPERTIES[[#This Row],[LOADINGSPEED]],LOADINGSPEEDDEF[TYPE],LOADINGSPEEDDEF[SPEED])</f>
        <v>20</v>
      </c>
      <c r="N268" cm="1">
        <f t="array" ref="N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8">
        <f>IF(ISNUMBER(SEARCH("passenger",PROPERTIES[[#This Row],[CARGODEF]])),1,0)</f>
        <v>0</v>
      </c>
      <c r="P268" s="29">
        <v>148</v>
      </c>
      <c r="Q268">
        <v>1200</v>
      </c>
      <c r="R268">
        <v>85</v>
      </c>
      <c r="S268" s="26">
        <v>200</v>
      </c>
      <c r="T268" s="25">
        <f>IFERROR(PROPERTIES[[#This Row],[TE_STARTING_KN]]/(PROPERTIES[[#This Row],[WEIGHT]]*9.81),0)</f>
        <v>0.13775243133041298</v>
      </c>
      <c r="U268" s="25">
        <v>0.15</v>
      </c>
      <c r="V268" s="22">
        <f>ROUND(IF(IFERROR(PROPERTIES[[#This Row],[TE_COEFFICIENT_CALC]],0)=0,PROPERTIES[[#This Row],[TE_COEFFICIENT_MANUAL]],PROPERTIES[[#This Row],[TE_COEFFICIENT_CALC]]),3)</f>
        <v>0.13800000000000001</v>
      </c>
      <c r="W268" s="10" cm="1">
        <f t="array" ref="W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8" s="32">
        <v>0</v>
      </c>
      <c r="Y268" s="8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8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9" t="b">
        <v>0</v>
      </c>
      <c r="AY268"/>
      <c r="AZ268"/>
      <c r="BA268"/>
    </row>
    <row r="269" spans="1:53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t="s">
        <v>1728</v>
      </c>
      <c r="F269" t="str">
        <f>_xlfn.XLOOKUP(PROPERTIES[[#This Row],[COUNTRY]],COUNTRIES[COUNTRY_DESCRIPTION],COUNTRIES[COUNTRY_LABEL],"")</f>
        <v>BR</v>
      </c>
      <c r="G269" t="str" cm="1">
        <f t="array" ref="G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9" t="s">
        <v>19</v>
      </c>
      <c r="I269">
        <v>0</v>
      </c>
      <c r="J269">
        <v>4</v>
      </c>
      <c r="K269">
        <v>4</v>
      </c>
      <c r="L269" t="str" cm="1">
        <f t="array" ref="L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9">
        <f>_xlfn.XLOOKUP("LOADINGSPEEDDEF_"&amp;PROPERTIES[[#This Row],[LOADINGSPEED]],LOADINGSPEEDDEF[TYPE],LOADINGSPEEDDEF[SPEED])</f>
        <v>20</v>
      </c>
      <c r="N269" cm="1">
        <f t="array" ref="N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9">
        <f>IF(ISNUMBER(SEARCH("passenger",PROPERTIES[[#This Row],[CARGODEF]])),1,0)</f>
        <v>0</v>
      </c>
      <c r="P269" s="29">
        <v>52</v>
      </c>
      <c r="Q269">
        <v>450</v>
      </c>
      <c r="R269">
        <v>76</v>
      </c>
      <c r="S269" s="26">
        <v>0</v>
      </c>
      <c r="T269" s="25">
        <f>IFERROR(PROPERTIES[[#This Row],[TE_STARTING_KN]]/(PROPERTIES[[#This Row],[WEIGHT]]*9.81),0)</f>
        <v>0</v>
      </c>
      <c r="U269" s="25">
        <v>0.22</v>
      </c>
      <c r="V269" s="22">
        <f>ROUND(IF(IFERROR(PROPERTIES[[#This Row],[TE_COEFFICIENT_CALC]],0)=0,PROPERTIES[[#This Row],[TE_COEFFICIENT_MANUAL]],PROPERTIES[[#This Row],[TE_COEFFICIENT_CALC]]),3)</f>
        <v>0.22</v>
      </c>
      <c r="W269" s="10" cm="1">
        <f t="array" ref="W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9" s="32">
        <v>0</v>
      </c>
      <c r="Y269" s="8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8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9" t="b">
        <v>0</v>
      </c>
      <c r="AY269"/>
      <c r="AZ269"/>
      <c r="BA269"/>
    </row>
    <row r="270" spans="1:53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t="s">
        <v>1743</v>
      </c>
      <c r="F270" t="str">
        <f>_xlfn.XLOOKUP(PROPERTIES[[#This Row],[COUNTRY]],COUNTRIES[COUNTRY_DESCRIPTION],COUNTRIES[COUNTRY_LABEL],"")</f>
        <v>CL</v>
      </c>
      <c r="G270" t="str" cm="1">
        <f t="array" ref="G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0" t="s">
        <v>19</v>
      </c>
      <c r="I270">
        <v>0</v>
      </c>
      <c r="J270">
        <v>5</v>
      </c>
      <c r="K270">
        <v>5</v>
      </c>
      <c r="L270" t="str" cm="1">
        <f t="array" ref="L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0">
        <f>_xlfn.XLOOKUP("LOADINGSPEEDDEF_"&amp;PROPERTIES[[#This Row],[LOADINGSPEED]],LOADINGSPEEDDEF[TYPE],LOADINGSPEEDDEF[SPEED])</f>
        <v>20</v>
      </c>
      <c r="N270" cm="1">
        <f t="array" ref="N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0">
        <f>IF(ISNUMBER(SEARCH("passenger",PROPERTIES[[#This Row],[CARGODEF]])),1,0)</f>
        <v>0</v>
      </c>
      <c r="P270" s="29">
        <v>54</v>
      </c>
      <c r="Q270">
        <v>600</v>
      </c>
      <c r="R270">
        <v>64</v>
      </c>
      <c r="S270" s="26">
        <v>138</v>
      </c>
      <c r="T270" s="25">
        <f>IFERROR(PROPERTIES[[#This Row],[TE_STARTING_KN]]/(PROPERTIES[[#This Row],[WEIGHT]]*9.81),0)</f>
        <v>0.26050515347151432</v>
      </c>
      <c r="U270" s="25">
        <v>0.18</v>
      </c>
      <c r="V270" s="22">
        <f>ROUND(IF(IFERROR(PROPERTIES[[#This Row],[TE_COEFFICIENT_CALC]],0)=0,PROPERTIES[[#This Row],[TE_COEFFICIENT_MANUAL]],PROPERTIES[[#This Row],[TE_COEFFICIENT_CALC]]),3)</f>
        <v>0.26100000000000001</v>
      </c>
      <c r="W270" s="10" cm="1">
        <f t="array" ref="W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0" s="32">
        <v>0</v>
      </c>
      <c r="Y270" s="8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8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9" t="b">
        <v>0</v>
      </c>
      <c r="AY270"/>
      <c r="AZ270"/>
      <c r="BA270"/>
    </row>
    <row r="271" spans="1:53">
      <c r="A271" s="2" t="s">
        <v>289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t="s">
        <v>1870</v>
      </c>
      <c r="F271" t="str">
        <f>_xlfn.XLOOKUP(PROPERTIES[[#This Row],[COUNTRY]],COUNTRIES[COUNTRY_DESCRIPTION],COUNTRIES[COUNTRY_LABEL],"")</f>
        <v>PE</v>
      </c>
      <c r="G271" t="str" cm="1">
        <f t="array" ref="G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1" t="s">
        <v>19</v>
      </c>
      <c r="I271">
        <v>0</v>
      </c>
      <c r="J271">
        <v>6</v>
      </c>
      <c r="K271">
        <v>6</v>
      </c>
      <c r="L271" t="str" cm="1">
        <f t="array" ref="L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1">
        <f>_xlfn.XLOOKUP("LOADINGSPEEDDEF_"&amp;PROPERTIES[[#This Row],[LOADINGSPEED]],LOADINGSPEEDDEF[TYPE],LOADINGSPEEDDEF[SPEED])</f>
        <v>20</v>
      </c>
      <c r="N271" cm="1">
        <f t="array" ref="N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1">
        <f>IF(ISNUMBER(SEARCH("passenger",PROPERTIES[[#This Row],[CARGODEF]])),1,0)</f>
        <v>0</v>
      </c>
      <c r="P271" s="29">
        <v>83</v>
      </c>
      <c r="Q271">
        <v>1350</v>
      </c>
      <c r="R271">
        <v>120</v>
      </c>
      <c r="S271" s="26">
        <v>0</v>
      </c>
      <c r="T271" s="25">
        <f>IFERROR(PROPERTIES[[#This Row],[TE_STARTING_KN]]/(PROPERTIES[[#This Row],[WEIGHT]]*9.81),0)</f>
        <v>0</v>
      </c>
      <c r="U271" s="25">
        <v>0.17</v>
      </c>
      <c r="V271" s="22">
        <f>ROUND(IF(IFERROR(PROPERTIES[[#This Row],[TE_COEFFICIENT_CALC]],0)=0,PROPERTIES[[#This Row],[TE_COEFFICIENT_MANUAL]],PROPERTIES[[#This Row],[TE_COEFFICIENT_CALC]]),3)</f>
        <v>0.17</v>
      </c>
      <c r="W271" s="10" cm="1">
        <f t="array" ref="W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1" s="32">
        <v>0</v>
      </c>
      <c r="Y271" s="8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8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9" t="b">
        <v>0</v>
      </c>
      <c r="AY271"/>
      <c r="AZ271"/>
      <c r="BA271"/>
    </row>
    <row r="272" spans="1:53">
      <c r="A272" s="2" t="s">
        <v>290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t="s">
        <v>1728</v>
      </c>
      <c r="F272" t="str">
        <f>_xlfn.XLOOKUP(PROPERTIES[[#This Row],[COUNTRY]],COUNTRIES[COUNTRY_DESCRIPTION],COUNTRIES[COUNTRY_LABEL],"")</f>
        <v>BR</v>
      </c>
      <c r="G272" t="str" cm="1">
        <f t="array" ref="G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2" t="s">
        <v>19</v>
      </c>
      <c r="I272">
        <v>0</v>
      </c>
      <c r="J272">
        <v>8</v>
      </c>
      <c r="K272">
        <v>8</v>
      </c>
      <c r="L272" t="str" cm="1">
        <f t="array" ref="L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2">
        <f>_xlfn.XLOOKUP("LOADINGSPEEDDEF_"&amp;PROPERTIES[[#This Row],[LOADINGSPEED]],LOADINGSPEEDDEF[TYPE],LOADINGSPEEDDEF[SPEED])</f>
        <v>20</v>
      </c>
      <c r="N272" t="str" cm="1">
        <f t="array" ref="N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2">
        <f>IF(ISNUMBER(SEARCH("passenger",PROPERTIES[[#This Row],[CARGODEF]])),1,0)</f>
        <v>0</v>
      </c>
      <c r="P272" s="29">
        <v>162</v>
      </c>
      <c r="Q272">
        <v>3600</v>
      </c>
      <c r="R272">
        <v>85</v>
      </c>
      <c r="S272" s="26">
        <v>388.9</v>
      </c>
      <c r="T272" s="25">
        <f>IFERROR(PROPERTIES[[#This Row],[TE_STARTING_KN]]/(PROPERTIES[[#This Row],[WEIGHT]]*9.81),0)</f>
        <v>0.24471124199292732</v>
      </c>
      <c r="U272" s="25">
        <v>0.24</v>
      </c>
      <c r="V272" s="22">
        <f>ROUND(IF(IFERROR(PROPERTIES[[#This Row],[TE_COEFFICIENT_CALC]],0)=0,PROPERTIES[[#This Row],[TE_COEFFICIENT_MANUAL]],PROPERTIES[[#This Row],[TE_COEFFICIENT_CALC]]),3)</f>
        <v>0.245</v>
      </c>
      <c r="W272" s="10" cm="1">
        <f t="array" ref="W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72" s="32">
        <v>0</v>
      </c>
      <c r="Y272" s="8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8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9" t="b">
        <v>0</v>
      </c>
      <c r="AY272"/>
      <c r="AZ272"/>
      <c r="BA272"/>
    </row>
    <row r="273" spans="1:53">
      <c r="A273" s="2" t="s">
        <v>291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t="s">
        <v>1870</v>
      </c>
      <c r="F273" t="str">
        <f>_xlfn.XLOOKUP(PROPERTIES[[#This Row],[COUNTRY]],COUNTRIES[COUNTRY_DESCRIPTION],COUNTRIES[COUNTRY_LABEL],"")</f>
        <v>PE</v>
      </c>
      <c r="G273" t="str" cm="1">
        <f t="array" ref="G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3" t="s">
        <v>19</v>
      </c>
      <c r="I273">
        <v>0</v>
      </c>
      <c r="J273">
        <v>8</v>
      </c>
      <c r="K273">
        <v>8</v>
      </c>
      <c r="L273" t="str" cm="1">
        <f t="array" ref="L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3">
        <f>_xlfn.XLOOKUP("LOADINGSPEEDDEF_"&amp;PROPERTIES[[#This Row],[LOADINGSPEED]],LOADINGSPEEDDEF[TYPE],LOADINGSPEEDDEF[SPEED])</f>
        <v>20</v>
      </c>
      <c r="N273" cm="1">
        <f t="array" ref="N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3">
        <f>IF(ISNUMBER(SEARCH("passenger",PROPERTIES[[#This Row],[CARGODEF]])),1,0)</f>
        <v>0</v>
      </c>
      <c r="P273" s="29">
        <v>166</v>
      </c>
      <c r="Q273">
        <v>3900</v>
      </c>
      <c r="R273">
        <v>110</v>
      </c>
      <c r="S273" s="26">
        <v>0</v>
      </c>
      <c r="T273" s="25">
        <f>IFERROR(PROPERTIES[[#This Row],[TE_STARTING_KN]]/(PROPERTIES[[#This Row],[WEIGHT]]*9.81),0)</f>
        <v>0</v>
      </c>
      <c r="U273" s="25">
        <v>0.28999999999999998</v>
      </c>
      <c r="V273" s="22">
        <f>ROUND(IF(IFERROR(PROPERTIES[[#This Row],[TE_COEFFICIENT_CALC]],0)=0,PROPERTIES[[#This Row],[TE_COEFFICIENT_MANUAL]],PROPERTIES[[#This Row],[TE_COEFFICIENT_CALC]]),3)</f>
        <v>0.28999999999999998</v>
      </c>
      <c r="W273" s="10" cm="1">
        <f t="array" ref="W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3" s="32">
        <v>0</v>
      </c>
      <c r="Y273" s="8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8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9" t="b">
        <v>0</v>
      </c>
      <c r="AY273"/>
      <c r="AZ273"/>
      <c r="BA273"/>
    </row>
    <row r="274" spans="1:53">
      <c r="A274" s="2" t="s">
        <v>292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t="s">
        <v>1707</v>
      </c>
      <c r="F274" t="str">
        <f>_xlfn.XLOOKUP(PROPERTIES[[#This Row],[COUNTRY]],COUNTRIES[COUNTRY_DESCRIPTION],COUNTRIES[COUNTRY_LABEL],"")</f>
        <v>AR</v>
      </c>
      <c r="G274" t="str" cm="1">
        <f t="array" ref="G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4" t="s">
        <v>19</v>
      </c>
      <c r="I274">
        <v>0</v>
      </c>
      <c r="J274">
        <v>7</v>
      </c>
      <c r="K274">
        <v>7</v>
      </c>
      <c r="L274" t="str" cm="1">
        <f t="array" ref="L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4">
        <f>_xlfn.XLOOKUP("LOADINGSPEEDDEF_"&amp;PROPERTIES[[#This Row],[LOADINGSPEED]],LOADINGSPEEDDEF[TYPE],LOADINGSPEEDDEF[SPEED])</f>
        <v>20</v>
      </c>
      <c r="N274" t="str" cm="1">
        <f t="array" ref="N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4">
        <f>IF(ISNUMBER(SEARCH("passenger",PROPERTIES[[#This Row],[CARGODEF]])),1,0)</f>
        <v>0</v>
      </c>
      <c r="P274" s="29">
        <v>117</v>
      </c>
      <c r="Q274">
        <v>1876</v>
      </c>
      <c r="R274">
        <v>140</v>
      </c>
      <c r="S274" s="26">
        <v>302</v>
      </c>
      <c r="T274" s="25">
        <f>IFERROR(PROPERTIES[[#This Row],[TE_STARTING_KN]]/(PROPERTIES[[#This Row],[WEIGHT]]*9.81),0)</f>
        <v>0.2631189175531683</v>
      </c>
      <c r="U274" s="25">
        <v>0.18</v>
      </c>
      <c r="V274" s="22">
        <f>ROUND(IF(IFERROR(PROPERTIES[[#This Row],[TE_COEFFICIENT_CALC]],0)=0,PROPERTIES[[#This Row],[TE_COEFFICIENT_MANUAL]],PROPERTIES[[#This Row],[TE_COEFFICIENT_CALC]]),3)</f>
        <v>0.26300000000000001</v>
      </c>
      <c r="W274" s="10" cm="1">
        <f t="array" ref="W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4" s="32">
        <v>0</v>
      </c>
      <c r="Y274" s="8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8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9" t="b">
        <v>0</v>
      </c>
      <c r="AY274"/>
      <c r="AZ274"/>
      <c r="BA274"/>
    </row>
    <row r="275" spans="1:53">
      <c r="A275" s="2" t="s">
        <v>293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t="s">
        <v>1707</v>
      </c>
      <c r="F275" t="str">
        <f>_xlfn.XLOOKUP(PROPERTIES[[#This Row],[COUNTRY]],COUNTRIES[COUNTRY_DESCRIPTION],COUNTRIES[COUNTRY_LABEL],"")</f>
        <v>AR</v>
      </c>
      <c r="G275" t="str" cm="1">
        <f t="array" ref="G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5" t="s">
        <v>19</v>
      </c>
      <c r="I275">
        <v>0</v>
      </c>
      <c r="J275">
        <v>8</v>
      </c>
      <c r="K275">
        <v>8</v>
      </c>
      <c r="L275" t="str" cm="1">
        <f t="array" ref="L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5">
        <f>_xlfn.XLOOKUP("LOADINGSPEEDDEF_"&amp;PROPERTIES[[#This Row],[LOADINGSPEED]],LOADINGSPEEDDEF[TYPE],LOADINGSPEEDDEF[SPEED])</f>
        <v>20</v>
      </c>
      <c r="N275" t="str" cm="1">
        <f t="array" ref="N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5">
        <f>IF(ISNUMBER(SEARCH("passenger",PROPERTIES[[#This Row],[CARGODEF]])),1,0)</f>
        <v>0</v>
      </c>
      <c r="P275" s="29">
        <v>120</v>
      </c>
      <c r="Q275">
        <v>2950</v>
      </c>
      <c r="R275">
        <v>120</v>
      </c>
      <c r="S275" s="26">
        <v>384</v>
      </c>
      <c r="T275" s="25">
        <f>IFERROR(PROPERTIES[[#This Row],[TE_STARTING_KN]]/(PROPERTIES[[#This Row],[WEIGHT]]*9.81),0)</f>
        <v>0.32619775739041795</v>
      </c>
      <c r="U275" s="25">
        <v>0.32</v>
      </c>
      <c r="V275" s="22">
        <f>ROUND(IF(IFERROR(PROPERTIES[[#This Row],[TE_COEFFICIENT_CALC]],0)=0,PROPERTIES[[#This Row],[TE_COEFFICIENT_MANUAL]],PROPERTIES[[#This Row],[TE_COEFFICIENT_CALC]]),3)</f>
        <v>0.32600000000000001</v>
      </c>
      <c r="W275" s="10" cm="1">
        <f t="array" ref="W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75" s="32">
        <v>0</v>
      </c>
      <c r="Y275" s="8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8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9" t="b">
        <v>0</v>
      </c>
      <c r="AY275"/>
      <c r="AZ275"/>
      <c r="BA275"/>
    </row>
    <row r="276" spans="1:53">
      <c r="A276" s="2" t="s">
        <v>294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t="s">
        <v>1942</v>
      </c>
      <c r="F276" t="str">
        <f>_xlfn.XLOOKUP(PROPERTIES[[#This Row],[COUNTRY]],COUNTRIES[COUNTRY_DESCRIPTION],COUNTRIES[COUNTRY_LABEL],"")</f>
        <v>ZA</v>
      </c>
      <c r="G276" t="str" cm="1">
        <f t="array" ref="G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6" t="s">
        <v>19</v>
      </c>
      <c r="I276">
        <v>0</v>
      </c>
      <c r="J276">
        <v>5</v>
      </c>
      <c r="K276">
        <v>5</v>
      </c>
      <c r="L276" t="str" cm="1">
        <f t="array" ref="L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6">
        <f>_xlfn.XLOOKUP("LOADINGSPEEDDEF_"&amp;PROPERTIES[[#This Row],[LOADINGSPEED]],LOADINGSPEEDDEF[TYPE],LOADINGSPEEDDEF[SPEED])</f>
        <v>20</v>
      </c>
      <c r="N276" cm="1">
        <f t="array" ref="N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6">
        <f>IF(ISNUMBER(SEARCH("passenger",PROPERTIES[[#This Row],[CARGODEF]])),1,0)</f>
        <v>0</v>
      </c>
      <c r="P276" s="29">
        <v>68</v>
      </c>
      <c r="Q276">
        <v>410</v>
      </c>
      <c r="R276">
        <v>60</v>
      </c>
      <c r="S276" s="26">
        <v>157</v>
      </c>
      <c r="T276" s="25">
        <f>IFERROR(PROPERTIES[[#This Row],[TE_STARTING_KN]]/(PROPERTIES[[#This Row],[WEIGHT]]*9.81),0)</f>
        <v>0.23535408047010853</v>
      </c>
      <c r="U276" s="25">
        <v>0.23</v>
      </c>
      <c r="V276" s="22">
        <f>ROUND(IF(IFERROR(PROPERTIES[[#This Row],[TE_COEFFICIENT_CALC]],0)=0,PROPERTIES[[#This Row],[TE_COEFFICIENT_MANUAL]],PROPERTIES[[#This Row],[TE_COEFFICIENT_CALC]]),3)</f>
        <v>0.23499999999999999</v>
      </c>
      <c r="W276" s="10" cm="1">
        <f t="array" ref="W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76" s="32">
        <v>0</v>
      </c>
      <c r="Y276" s="8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8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9" t="b">
        <v>0</v>
      </c>
      <c r="AY276"/>
      <c r="AZ276"/>
      <c r="BA276"/>
    </row>
    <row r="277" spans="1:53">
      <c r="A277" s="2" t="s">
        <v>295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t="s">
        <v>1759</v>
      </c>
      <c r="F277" t="str">
        <f>_xlfn.XLOOKUP(PROPERTIES[[#This Row],[COUNTRY]],COUNTRIES[COUNTRY_DESCRIPTION],COUNTRIES[COUNTRY_LABEL],"")</f>
        <v>DZ</v>
      </c>
      <c r="G277" t="str" cm="1">
        <f t="array" ref="G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7" t="s">
        <v>19</v>
      </c>
      <c r="I277">
        <v>0</v>
      </c>
      <c r="J277">
        <v>6</v>
      </c>
      <c r="K277">
        <v>6</v>
      </c>
      <c r="L277" t="str" cm="1">
        <f t="array" ref="L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7">
        <f>_xlfn.XLOOKUP("LOADINGSPEEDDEF_"&amp;PROPERTIES[[#This Row],[LOADINGSPEED]],LOADINGSPEEDDEF[TYPE],LOADINGSPEEDDEF[SPEED])</f>
        <v>20</v>
      </c>
      <c r="N277" cm="1">
        <f t="array" ref="N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7">
        <f>IF(ISNUMBER(SEARCH("passenger",PROPERTIES[[#This Row],[CARGODEF]])),1,0)</f>
        <v>0</v>
      </c>
      <c r="P277" s="29">
        <v>115</v>
      </c>
      <c r="Q277">
        <v>800</v>
      </c>
      <c r="R277">
        <v>80</v>
      </c>
      <c r="S277" s="26">
        <v>0</v>
      </c>
      <c r="T277" s="25">
        <f>IFERROR(PROPERTIES[[#This Row],[TE_STARTING_KN]]/(PROPERTIES[[#This Row],[WEIGHT]]*9.81),0)</f>
        <v>0</v>
      </c>
      <c r="U277" s="25">
        <v>0.16</v>
      </c>
      <c r="V277" s="22">
        <f>ROUND(IF(IFERROR(PROPERTIES[[#This Row],[TE_COEFFICIENT_CALC]],0)=0,PROPERTIES[[#This Row],[TE_COEFFICIENT_MANUAL]],PROPERTIES[[#This Row],[TE_COEFFICIENT_CALC]]),3)</f>
        <v>0.16</v>
      </c>
      <c r="W277" s="10" cm="1">
        <f t="array" ref="W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7" s="32">
        <v>0</v>
      </c>
      <c r="Y277" s="8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8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9" t="b">
        <v>0</v>
      </c>
      <c r="AY277"/>
      <c r="AZ277"/>
      <c r="BA277"/>
    </row>
    <row r="278" spans="1:53">
      <c r="A278" s="2" t="s">
        <v>296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t="s">
        <v>1919</v>
      </c>
      <c r="F278" t="str">
        <f>_xlfn.XLOOKUP(PROPERTIES[[#This Row],[COUNTRY]],COUNTRIES[COUNTRY_DESCRIPTION],COUNTRIES[COUNTRY_LABEL],"")</f>
        <v>TN</v>
      </c>
      <c r="G278" t="str" cm="1">
        <f t="array" ref="G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8" t="s">
        <v>19</v>
      </c>
      <c r="I278">
        <v>0</v>
      </c>
      <c r="J278">
        <v>5</v>
      </c>
      <c r="K278">
        <v>5</v>
      </c>
      <c r="L278" t="str" cm="1">
        <f t="array" ref="L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8">
        <f>_xlfn.XLOOKUP("LOADINGSPEEDDEF_"&amp;PROPERTIES[[#This Row],[LOADINGSPEED]],LOADINGSPEEDDEF[TYPE],LOADINGSPEEDDEF[SPEED])</f>
        <v>20</v>
      </c>
      <c r="N278" cm="1">
        <f t="array" ref="N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8">
        <f>IF(ISNUMBER(SEARCH("passenger",PROPERTIES[[#This Row],[CARGODEF]])),1,0)</f>
        <v>0</v>
      </c>
      <c r="P278" s="29">
        <v>59</v>
      </c>
      <c r="Q278">
        <v>875</v>
      </c>
      <c r="R278">
        <v>100</v>
      </c>
      <c r="S278" s="26">
        <v>0</v>
      </c>
      <c r="T278" s="25">
        <f>IFERROR(PROPERTIES[[#This Row],[TE_STARTING_KN]]/(PROPERTIES[[#This Row],[WEIGHT]]*9.81),0)</f>
        <v>0</v>
      </c>
      <c r="U278" s="25">
        <v>0.25</v>
      </c>
      <c r="V278" s="22">
        <f>ROUND(IF(IFERROR(PROPERTIES[[#This Row],[TE_COEFFICIENT_CALC]],0)=0,PROPERTIES[[#This Row],[TE_COEFFICIENT_MANUAL]],PROPERTIES[[#This Row],[TE_COEFFICIENT_CALC]]),3)</f>
        <v>0.25</v>
      </c>
      <c r="W278" s="10" cm="1">
        <f t="array" ref="W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8" s="32">
        <v>0</v>
      </c>
      <c r="Y278" s="8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8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9" t="b">
        <v>0</v>
      </c>
      <c r="AY278"/>
      <c r="AZ278"/>
      <c r="BA278"/>
    </row>
    <row r="279" spans="1:53">
      <c r="A279" s="2" t="s">
        <v>297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t="s">
        <v>1762</v>
      </c>
      <c r="F279" t="str">
        <f>_xlfn.XLOOKUP(PROPERTIES[[#This Row],[COUNTRY]],COUNTRIES[COUNTRY_DESCRIPTION],COUNTRIES[COUNTRY_LABEL],"")</f>
        <v>EG</v>
      </c>
      <c r="G279" t="str" cm="1">
        <f t="array" ref="G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9" t="s">
        <v>19</v>
      </c>
      <c r="I279">
        <v>0</v>
      </c>
      <c r="J279">
        <v>7</v>
      </c>
      <c r="K279">
        <v>7</v>
      </c>
      <c r="L279" t="str" cm="1">
        <f t="array" ref="L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9">
        <f>_xlfn.XLOOKUP("LOADINGSPEEDDEF_"&amp;PROPERTIES[[#This Row],[LOADINGSPEED]],LOADINGSPEEDDEF[TYPE],LOADINGSPEEDDEF[SPEED])</f>
        <v>20</v>
      </c>
      <c r="N279" cm="1">
        <f t="array" ref="N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9">
        <f>IF(ISNUMBER(SEARCH("passenger",PROPERTIES[[#This Row],[CARGODEF]])),1,0)</f>
        <v>0</v>
      </c>
      <c r="P279" s="29">
        <v>120</v>
      </c>
      <c r="Q279">
        <v>2800</v>
      </c>
      <c r="R279">
        <v>120</v>
      </c>
      <c r="S279" s="26">
        <v>365</v>
      </c>
      <c r="T279" s="25">
        <f>IFERROR(PROPERTIES[[#This Row],[TE_STARTING_KN]]/(PROPERTIES[[#This Row],[WEIGHT]]*9.81),0)</f>
        <v>0.31005776418620457</v>
      </c>
      <c r="U279" s="25">
        <v>0.17</v>
      </c>
      <c r="V279" s="22">
        <f>ROUND(IF(IFERROR(PROPERTIES[[#This Row],[TE_COEFFICIENT_CALC]],0)=0,PROPERTIES[[#This Row],[TE_COEFFICIENT_MANUAL]],PROPERTIES[[#This Row],[TE_COEFFICIENT_CALC]]),3)</f>
        <v>0.31</v>
      </c>
      <c r="W279" s="10" cm="1">
        <f t="array" ref="W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9" s="32">
        <v>0</v>
      </c>
      <c r="Y279" s="8">
        <v>0</v>
      </c>
      <c r="Z279" t="s">
        <v>872</v>
      </c>
      <c r="AA279" t="s">
        <v>3515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8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9" t="b">
        <v>0</v>
      </c>
      <c r="AY279"/>
      <c r="AZ279"/>
      <c r="BA279"/>
    </row>
    <row r="280" spans="1:53">
      <c r="A280" s="2" t="s">
        <v>298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t="s">
        <v>1919</v>
      </c>
      <c r="F280" t="str">
        <f>_xlfn.XLOOKUP(PROPERTIES[[#This Row],[COUNTRY]],COUNTRIES[COUNTRY_DESCRIPTION],COUNTRIES[COUNTRY_LABEL],"")</f>
        <v>TN</v>
      </c>
      <c r="G280" t="str" cm="1">
        <f t="array" ref="G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0" t="s">
        <v>19</v>
      </c>
      <c r="I280">
        <v>0</v>
      </c>
      <c r="J280">
        <v>5</v>
      </c>
      <c r="K280">
        <v>5</v>
      </c>
      <c r="L280" t="str" cm="1">
        <f t="array" ref="L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0">
        <f>_xlfn.XLOOKUP("LOADINGSPEEDDEF_"&amp;PROPERTIES[[#This Row],[LOADINGSPEED]],LOADINGSPEEDDEF[TYPE],LOADINGSPEEDDEF[SPEED])</f>
        <v>20</v>
      </c>
      <c r="N280" cm="1">
        <f t="array" ref="N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0">
        <f>IF(ISNUMBER(SEARCH("passenger",PROPERTIES[[#This Row],[CARGODEF]])),1,0)</f>
        <v>0</v>
      </c>
      <c r="P280" s="29">
        <v>53</v>
      </c>
      <c r="Q280">
        <v>700</v>
      </c>
      <c r="R280">
        <v>75</v>
      </c>
      <c r="S280" s="26">
        <v>128</v>
      </c>
      <c r="T280" s="25">
        <f>IFERROR(PROPERTIES[[#This Row],[TE_STARTING_KN]]/(PROPERTIES[[#This Row],[WEIGHT]]*9.81),0)</f>
        <v>0.24618698670974937</v>
      </c>
      <c r="U280" s="25">
        <v>0.28000000000000003</v>
      </c>
      <c r="V280" s="22">
        <f>ROUND(IF(IFERROR(PROPERTIES[[#This Row],[TE_COEFFICIENT_CALC]],0)=0,PROPERTIES[[#This Row],[TE_COEFFICIENT_MANUAL]],PROPERTIES[[#This Row],[TE_COEFFICIENT_CALC]]),3)</f>
        <v>0.246</v>
      </c>
      <c r="W280" s="10" cm="1">
        <f t="array" ref="W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0" s="32">
        <v>0</v>
      </c>
      <c r="Y280" s="8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8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9" t="b">
        <v>0</v>
      </c>
      <c r="AY280"/>
      <c r="AZ280"/>
      <c r="BA280"/>
    </row>
    <row r="281" spans="1:53">
      <c r="A281" s="2" t="s">
        <v>299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t="s">
        <v>1833</v>
      </c>
      <c r="F281" t="str">
        <f>_xlfn.XLOOKUP(PROPERTIES[[#This Row],[COUNTRY]],COUNTRIES[COUNTRY_DESCRIPTION],COUNTRIES[COUNTRY_LABEL],"")</f>
        <v>MA</v>
      </c>
      <c r="G281" t="str" cm="1">
        <f t="array" ref="G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1" t="s">
        <v>19</v>
      </c>
      <c r="I281">
        <v>0</v>
      </c>
      <c r="J281">
        <v>8</v>
      </c>
      <c r="K281">
        <v>8</v>
      </c>
      <c r="L281" t="str" cm="1">
        <f t="array" ref="L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1">
        <f>_xlfn.XLOOKUP("LOADINGSPEEDDEF_"&amp;PROPERTIES[[#This Row],[LOADINGSPEED]],LOADINGSPEEDDEF[TYPE],LOADINGSPEEDDEF[SPEED])</f>
        <v>20</v>
      </c>
      <c r="N281" t="str" cm="1">
        <f t="array" ref="N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1">
        <f>IF(ISNUMBER(SEARCH("passenger",PROPERTIES[[#This Row],[CARGODEF]])),1,0)</f>
        <v>0</v>
      </c>
      <c r="P281" s="29">
        <v>108</v>
      </c>
      <c r="Q281">
        <v>3400</v>
      </c>
      <c r="R281">
        <v>135</v>
      </c>
      <c r="S281" s="26">
        <v>360</v>
      </c>
      <c r="T281" s="25">
        <f>IFERROR(PROPERTIES[[#This Row],[TE_STARTING_KN]]/(PROPERTIES[[#This Row],[WEIGHT]]*9.81),0)</f>
        <v>0.3397893306150187</v>
      </c>
      <c r="U281" s="25">
        <v>0.33</v>
      </c>
      <c r="V281" s="22">
        <f>ROUND(IF(IFERROR(PROPERTIES[[#This Row],[TE_COEFFICIENT_CALC]],0)=0,PROPERTIES[[#This Row],[TE_COEFFICIENT_MANUAL]],PROPERTIES[[#This Row],[TE_COEFFICIENT_CALC]]),3)</f>
        <v>0.34</v>
      </c>
      <c r="W281" s="10" cm="1">
        <f t="array" ref="W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1" s="32">
        <v>0</v>
      </c>
      <c r="Y281" s="8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8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9" t="b">
        <v>0</v>
      </c>
      <c r="AY281"/>
      <c r="AZ281"/>
      <c r="BA281"/>
    </row>
    <row r="282" spans="1:53">
      <c r="A282" s="2" t="s">
        <v>300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t="s">
        <v>1925</v>
      </c>
      <c r="F282" t="str">
        <f>_xlfn.XLOOKUP(PROPERTIES[[#This Row],[COUNTRY]],COUNTRIES[COUNTRY_DESCRIPTION],COUNTRIES[COUNTRY_LABEL],"")</f>
        <v>UA</v>
      </c>
      <c r="G282" t="str" cm="1">
        <f t="array" ref="G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2" t="s">
        <v>19</v>
      </c>
      <c r="I282">
        <v>0</v>
      </c>
      <c r="J282">
        <v>8</v>
      </c>
      <c r="K282">
        <v>8</v>
      </c>
      <c r="L282" t="str" cm="1">
        <f t="array" ref="L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2">
        <f>_xlfn.XLOOKUP("LOADINGSPEEDDEF_"&amp;PROPERTIES[[#This Row],[LOADINGSPEED]],LOADINGSPEEDDEF[TYPE],LOADINGSPEEDDEF[SPEED])</f>
        <v>20</v>
      </c>
      <c r="N282" cm="1">
        <f t="array" ref="N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2">
        <f>IF(ISNUMBER(SEARCH("passenger",PROPERTIES[[#This Row],[CARGODEF]])),1,0)</f>
        <v>0</v>
      </c>
      <c r="P282" s="29">
        <v>129</v>
      </c>
      <c r="Q282">
        <v>2290</v>
      </c>
      <c r="R282">
        <v>140</v>
      </c>
      <c r="S282" s="26">
        <v>245</v>
      </c>
      <c r="T282" s="25">
        <f>IFERROR(PROPERTIES[[#This Row],[TE_STARTING_KN]]/(PROPERTIES[[#This Row],[WEIGHT]]*9.81),0)</f>
        <v>0.19360089767599903</v>
      </c>
      <c r="U282" s="25">
        <v>0.13</v>
      </c>
      <c r="V282" s="22">
        <f>ROUND(IF(IFERROR(PROPERTIES[[#This Row],[TE_COEFFICIENT_CALC]],0)=0,PROPERTIES[[#This Row],[TE_COEFFICIENT_MANUAL]],PROPERTIES[[#This Row],[TE_COEFFICIENT_CALC]]),3)</f>
        <v>0.19400000000000001</v>
      </c>
      <c r="W282" s="10" cm="1">
        <f t="array" ref="W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2" s="32">
        <v>0</v>
      </c>
      <c r="Y282" s="8">
        <v>0</v>
      </c>
      <c r="Z282" t="s">
        <v>3514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8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9" t="b">
        <v>0</v>
      </c>
      <c r="AY282"/>
      <c r="AZ282"/>
      <c r="BA282"/>
    </row>
    <row r="283" spans="1:53">
      <c r="A283" s="2" t="s">
        <v>301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t="s">
        <v>1887</v>
      </c>
      <c r="F283" t="str">
        <f>_xlfn.XLOOKUP(PROPERTIES[[#This Row],[COUNTRY]],COUNTRIES[COUNTRY_DESCRIPTION],COUNTRIES[COUNTRY_LABEL],"")</f>
        <v>RU</v>
      </c>
      <c r="G283" t="str" cm="1">
        <f t="array" ref="G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3" t="s">
        <v>19</v>
      </c>
      <c r="I283">
        <v>0</v>
      </c>
      <c r="J283">
        <v>8</v>
      </c>
      <c r="K283">
        <v>16</v>
      </c>
      <c r="L283" t="str" cm="1">
        <f t="array" ref="L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3">
        <f>_xlfn.XLOOKUP("LOADINGSPEEDDEF_"&amp;PROPERTIES[[#This Row],[LOADINGSPEED]],LOADINGSPEEDDEF[TYPE],LOADINGSPEEDDEF[SPEED])</f>
        <v>20</v>
      </c>
      <c r="N283" cm="1">
        <f t="array" ref="N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3">
        <f>IF(ISNUMBER(SEARCH("passenger",PROPERTIES[[#This Row],[CARGODEF]])),1,0)</f>
        <v>0</v>
      </c>
      <c r="P283" s="29">
        <v>276</v>
      </c>
      <c r="Q283">
        <v>6160</v>
      </c>
      <c r="R283">
        <v>100</v>
      </c>
      <c r="S283" s="26">
        <v>784</v>
      </c>
      <c r="T283" s="25">
        <f>IFERROR(PROPERTIES[[#This Row],[TE_STARTING_KN]]/(PROPERTIES[[#This Row],[WEIGHT]]*9.81),0)</f>
        <v>0.28955960348062465</v>
      </c>
      <c r="U283" s="25">
        <v>0.18</v>
      </c>
      <c r="V283" s="22">
        <f>ROUND(IF(IFERROR(PROPERTIES[[#This Row],[TE_COEFFICIENT_CALC]],0)=0,PROPERTIES[[#This Row],[TE_COEFFICIENT_MANUAL]],PROPERTIES[[#This Row],[TE_COEFFICIENT_CALC]]),3)</f>
        <v>0.28999999999999998</v>
      </c>
      <c r="W283" s="10" cm="1">
        <f t="array" ref="W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3" s="32">
        <v>0</v>
      </c>
      <c r="Y283" s="8">
        <v>0</v>
      </c>
      <c r="Z283" t="s">
        <v>3514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8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9" t="b">
        <v>0</v>
      </c>
      <c r="AY283"/>
      <c r="AZ283"/>
      <c r="BA283"/>
    </row>
    <row r="284" spans="1:53">
      <c r="A284" s="2" t="s">
        <v>302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t="s">
        <v>1875</v>
      </c>
      <c r="F284" t="str">
        <f>_xlfn.XLOOKUP(PROPERTIES[[#This Row],[COUNTRY]],COUNTRIES[COUNTRY_DESCRIPTION],COUNTRIES[COUNTRY_LABEL],"")</f>
        <v>PL</v>
      </c>
      <c r="G284" t="str" cm="1">
        <f t="array" ref="G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4" t="s">
        <v>19</v>
      </c>
      <c r="I284">
        <v>0</v>
      </c>
      <c r="J284">
        <v>6</v>
      </c>
      <c r="K284">
        <v>6</v>
      </c>
      <c r="L284" t="str" cm="1">
        <f t="array" ref="L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4">
        <f>_xlfn.XLOOKUP("LOADINGSPEEDDEF_"&amp;PROPERTIES[[#This Row],[LOADINGSPEED]],LOADINGSPEEDDEF[TYPE],LOADINGSPEEDDEF[SPEED])</f>
        <v>20</v>
      </c>
      <c r="N284" t="str" cm="1">
        <f t="array" ref="N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4">
        <f>IF(ISNUMBER(SEARCH("passenger",PROPERTIES[[#This Row],[CARGODEF]])),1,0)</f>
        <v>0</v>
      </c>
      <c r="P284" s="29">
        <v>74</v>
      </c>
      <c r="Q284">
        <v>1015</v>
      </c>
      <c r="R284">
        <v>100</v>
      </c>
      <c r="S284" s="26">
        <v>181.42</v>
      </c>
      <c r="T284" s="25">
        <f>IFERROR(PROPERTIES[[#This Row],[TE_STARTING_KN]]/(PROPERTIES[[#This Row],[WEIGHT]]*9.81),0)</f>
        <v>0.2499104609196352</v>
      </c>
      <c r="U284" s="25">
        <v>0.25</v>
      </c>
      <c r="V284" s="22">
        <f>ROUND(IF(IFERROR(PROPERTIES[[#This Row],[TE_COEFFICIENT_CALC]],0)=0,PROPERTIES[[#This Row],[TE_COEFFICIENT_MANUAL]],PROPERTIES[[#This Row],[TE_COEFFICIENT_CALC]]),3)</f>
        <v>0.25</v>
      </c>
      <c r="W284" s="10" cm="1">
        <f t="array" ref="W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4" s="32">
        <v>0</v>
      </c>
      <c r="Y284" s="8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8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9" t="b">
        <v>0</v>
      </c>
      <c r="AY284"/>
      <c r="AZ284"/>
      <c r="BA284"/>
    </row>
    <row r="285" spans="1:53">
      <c r="A285" s="2" t="s">
        <v>303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t="s">
        <v>1925</v>
      </c>
      <c r="F285" t="str">
        <f>_xlfn.XLOOKUP(PROPERTIES[[#This Row],[COUNTRY]],COUNTRIES[COUNTRY_DESCRIPTION],COUNTRIES[COUNTRY_LABEL],"")</f>
        <v>UA</v>
      </c>
      <c r="G285" t="str" cm="1">
        <f t="array" ref="G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5" t="s">
        <v>19</v>
      </c>
      <c r="I285">
        <v>0</v>
      </c>
      <c r="J285">
        <v>8</v>
      </c>
      <c r="K285">
        <v>8</v>
      </c>
      <c r="L285" t="str" cm="1">
        <f t="array" ref="L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5">
        <f>_xlfn.XLOOKUP("LOADINGSPEEDDEF_"&amp;PROPERTIES[[#This Row],[LOADINGSPEED]],LOADINGSPEEDDEF[TYPE],LOADINGSPEEDDEF[SPEED])</f>
        <v>20</v>
      </c>
      <c r="N285" t="str" cm="1">
        <f t="array" ref="N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5">
        <f>IF(ISNUMBER(SEARCH("passenger",PROPERTIES[[#This Row],[CARGODEF]])),1,0)</f>
        <v>0</v>
      </c>
      <c r="P285" s="29">
        <v>272</v>
      </c>
      <c r="Q285">
        <v>6035</v>
      </c>
      <c r="R285">
        <v>100</v>
      </c>
      <c r="S285" s="26">
        <f>2*255</f>
        <v>510</v>
      </c>
      <c r="T285" s="25">
        <f>IFERROR(PROPERTIES[[#This Row],[TE_STARTING_KN]]/(PROPERTIES[[#This Row],[WEIGHT]]*9.81),0)</f>
        <v>0.19113149847094801</v>
      </c>
      <c r="U285" s="25">
        <v>0.2</v>
      </c>
      <c r="V285" s="22">
        <f>ROUND(IF(IFERROR(PROPERTIES[[#This Row],[TE_COEFFICIENT_CALC]],0)=0,PROPERTIES[[#This Row],[TE_COEFFICIENT_MANUAL]],PROPERTIES[[#This Row],[TE_COEFFICIENT_CALC]]),3)</f>
        <v>0.191</v>
      </c>
      <c r="W285" s="10" cm="1">
        <f t="array" ref="W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5" s="32">
        <v>0</v>
      </c>
      <c r="Y285" s="8">
        <v>0</v>
      </c>
      <c r="Z285" t="s">
        <v>3514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8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9" t="b">
        <v>0</v>
      </c>
      <c r="AY285"/>
      <c r="AZ285"/>
      <c r="BA285"/>
    </row>
    <row r="286" spans="1:53">
      <c r="A286" s="2" t="s">
        <v>304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t="s">
        <v>1925</v>
      </c>
      <c r="F286" t="str">
        <f>_xlfn.XLOOKUP(PROPERTIES[[#This Row],[COUNTRY]],COUNTRIES[COUNTRY_DESCRIPTION],COUNTRIES[COUNTRY_LABEL],"")</f>
        <v>UA</v>
      </c>
      <c r="G286" t="str" cm="1">
        <f t="array" ref="G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6" t="s">
        <v>19</v>
      </c>
      <c r="I286">
        <v>0</v>
      </c>
      <c r="J286">
        <v>8</v>
      </c>
      <c r="K286">
        <v>16</v>
      </c>
      <c r="L286" t="str" cm="1">
        <f t="array" ref="L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6">
        <f>_xlfn.XLOOKUP("LOADINGSPEEDDEF_"&amp;PROPERTIES[[#This Row],[LOADINGSPEED]],LOADINGSPEEDDEF[TYPE],LOADINGSPEEDDEF[SPEED])</f>
        <v>20</v>
      </c>
      <c r="N286" t="str" cm="1">
        <f t="array" ref="N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6">
        <f>IF(ISNUMBER(SEARCH("passenger",PROPERTIES[[#This Row],[CARGODEF]])),1,0)</f>
        <v>0</v>
      </c>
      <c r="P286" s="29">
        <v>276</v>
      </c>
      <c r="Q286">
        <v>4560</v>
      </c>
      <c r="R286">
        <v>120</v>
      </c>
      <c r="S286" s="26">
        <v>0</v>
      </c>
      <c r="T286" s="25">
        <f>IFERROR(PROPERTIES[[#This Row],[TE_STARTING_KN]]/(PROPERTIES[[#This Row],[WEIGHT]]*9.81),0)</f>
        <v>0</v>
      </c>
      <c r="U286" s="25">
        <v>0.15</v>
      </c>
      <c r="V286" s="22">
        <f>ROUND(IF(IFERROR(PROPERTIES[[#This Row],[TE_COEFFICIENT_CALC]],0)=0,PROPERTIES[[#This Row],[TE_COEFFICIENT_MANUAL]],PROPERTIES[[#This Row],[TE_COEFFICIENT_CALC]]),3)</f>
        <v>0.15</v>
      </c>
      <c r="W286" s="10" cm="1">
        <f t="array" ref="W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6" s="32">
        <v>0</v>
      </c>
      <c r="Y286" s="8">
        <v>0</v>
      </c>
      <c r="Z286" t="s">
        <v>3514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8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9" t="b">
        <v>0</v>
      </c>
      <c r="AY286"/>
      <c r="AZ286"/>
      <c r="BA286"/>
    </row>
    <row r="287" spans="1:53">
      <c r="A287" s="2" t="s">
        <v>305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t="s">
        <v>1886</v>
      </c>
      <c r="F287" t="str">
        <f>_xlfn.XLOOKUP(PROPERTIES[[#This Row],[COUNTRY]],COUNTRIES[COUNTRY_DESCRIPTION],COUNTRIES[COUNTRY_LABEL],"")</f>
        <v>RS</v>
      </c>
      <c r="G287" t="str" cm="1">
        <f t="array" ref="G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7" t="s">
        <v>19</v>
      </c>
      <c r="I287">
        <v>0</v>
      </c>
      <c r="J287">
        <v>4</v>
      </c>
      <c r="K287">
        <v>4</v>
      </c>
      <c r="L287" t="str" cm="1">
        <f t="array" ref="L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7">
        <f>_xlfn.XLOOKUP("LOADINGSPEEDDEF_"&amp;PROPERTIES[[#This Row],[LOADINGSPEED]],LOADINGSPEEDDEF[TYPE],LOADINGSPEEDDEF[SPEED])</f>
        <v>20</v>
      </c>
      <c r="N287" t="str" cm="1">
        <f t="array" ref="N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7">
        <f>IF(ISNUMBER(SEARCH("passenger",PROPERTIES[[#This Row],[CARGODEF]])),1,0)</f>
        <v>0</v>
      </c>
      <c r="P287" s="29">
        <v>36</v>
      </c>
      <c r="Q287">
        <v>530</v>
      </c>
      <c r="R287">
        <v>80</v>
      </c>
      <c r="S287" s="26">
        <v>108</v>
      </c>
      <c r="T287" s="25">
        <f>IFERROR(PROPERTIES[[#This Row],[TE_STARTING_KN]]/(PROPERTIES[[#This Row],[WEIGHT]]*9.81),0)</f>
        <v>0.3058103975535168</v>
      </c>
      <c r="U287" s="25">
        <v>0.3</v>
      </c>
      <c r="V287" s="22">
        <f>ROUND(IF(IFERROR(PROPERTIES[[#This Row],[TE_COEFFICIENT_CALC]],0)=0,PROPERTIES[[#This Row],[TE_COEFFICIENT_MANUAL]],PROPERTIES[[#This Row],[TE_COEFFICIENT_CALC]]),3)</f>
        <v>0.30599999999999999</v>
      </c>
      <c r="W287" s="10" cm="1">
        <f t="array" ref="W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7" s="32">
        <v>0</v>
      </c>
      <c r="Y287" s="8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8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9" t="b">
        <v>0</v>
      </c>
      <c r="AY287"/>
      <c r="AZ287"/>
      <c r="BA287"/>
    </row>
    <row r="288" spans="1:53">
      <c r="A288" s="2" t="s">
        <v>306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t="s">
        <v>1806</v>
      </c>
      <c r="F288" t="str">
        <f>_xlfn.XLOOKUP(PROPERTIES[[#This Row],[COUNTRY]],COUNTRIES[COUNTRY_DESCRIPTION],COUNTRIES[COUNTRY_LABEL],"")</f>
        <v>IT</v>
      </c>
      <c r="G288" t="str" cm="1">
        <f t="array" ref="G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8" t="s">
        <v>19</v>
      </c>
      <c r="I288">
        <v>0</v>
      </c>
      <c r="J288">
        <v>2</v>
      </c>
      <c r="K288">
        <v>2</v>
      </c>
      <c r="L288" t="str" cm="1">
        <f t="array" ref="L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8">
        <f>_xlfn.XLOOKUP("LOADINGSPEEDDEF_"&amp;PROPERTIES[[#This Row],[LOADINGSPEED]],LOADINGSPEEDDEF[TYPE],LOADINGSPEEDDEF[SPEED])</f>
        <v>20</v>
      </c>
      <c r="N288" cm="1">
        <f t="array" ref="N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8">
        <f>IF(ISNUMBER(SEARCH("passenger",PROPERTIES[[#This Row],[CARGODEF]])),1,0)</f>
        <v>0</v>
      </c>
      <c r="P288" s="29">
        <v>6</v>
      </c>
      <c r="Q288">
        <v>75</v>
      </c>
      <c r="R288">
        <v>30</v>
      </c>
      <c r="S288" s="26">
        <v>13</v>
      </c>
      <c r="T288" s="25">
        <f>IFERROR(PROPERTIES[[#This Row],[TE_STARTING_KN]]/(PROPERTIES[[#This Row],[WEIGHT]]*9.81),0)</f>
        <v>0.22086306489976215</v>
      </c>
      <c r="U288" s="25">
        <v>0.27</v>
      </c>
      <c r="V288" s="22">
        <f>ROUND(IF(IFERROR(PROPERTIES[[#This Row],[TE_COEFFICIENT_CALC]],0)=0,PROPERTIES[[#This Row],[TE_COEFFICIENT_MANUAL]],PROPERTIES[[#This Row],[TE_COEFFICIENT_CALC]]),3)</f>
        <v>0.221</v>
      </c>
      <c r="W288" s="10" cm="1">
        <f t="array" ref="W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288" s="32">
        <v>0</v>
      </c>
      <c r="Y288" s="8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8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9" t="b">
        <v>0</v>
      </c>
      <c r="AY288"/>
      <c r="AZ288"/>
      <c r="BA288"/>
    </row>
    <row r="289" spans="1:53">
      <c r="A289" s="2" t="s">
        <v>307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t="s">
        <v>1887</v>
      </c>
      <c r="F289" t="str">
        <f>_xlfn.XLOOKUP(PROPERTIES[[#This Row],[COUNTRY]],COUNTRIES[COUNTRY_DESCRIPTION],COUNTRIES[COUNTRY_LABEL],"")</f>
        <v>RU</v>
      </c>
      <c r="G289" t="str" cm="1">
        <f t="array" ref="G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9" t="s">
        <v>19</v>
      </c>
      <c r="I289">
        <v>0</v>
      </c>
      <c r="J289">
        <v>8</v>
      </c>
      <c r="K289">
        <v>8</v>
      </c>
      <c r="L289" t="str" cm="1">
        <f t="array" ref="L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9">
        <f>_xlfn.XLOOKUP("LOADINGSPEEDDEF_"&amp;PROPERTIES[[#This Row],[LOADINGSPEED]],LOADINGSPEEDDEF[TYPE],LOADINGSPEEDDEF[SPEED])</f>
        <v>20</v>
      </c>
      <c r="N289" cm="1">
        <f t="array" ref="N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9">
        <f>IF(ISNUMBER(SEARCH("passenger",PROPERTIES[[#This Row],[CARGODEF]])),1,0)</f>
        <v>0</v>
      </c>
      <c r="P289" s="29">
        <v>122</v>
      </c>
      <c r="Q289">
        <v>1000</v>
      </c>
      <c r="R289">
        <v>97</v>
      </c>
      <c r="S289" s="26">
        <v>310</v>
      </c>
      <c r="T289" s="25">
        <f>IFERROR(PROPERTIES[[#This Row],[TE_STARTING_KN]]/(PROPERTIES[[#This Row],[WEIGHT]]*9.81),0)</f>
        <v>0.2590197356327601</v>
      </c>
      <c r="U289" s="25">
        <v>0.15</v>
      </c>
      <c r="V289" s="22">
        <f>ROUND(IF(IFERROR(PROPERTIES[[#This Row],[TE_COEFFICIENT_CALC]],0)=0,PROPERTIES[[#This Row],[TE_COEFFICIENT_MANUAL]],PROPERTIES[[#This Row],[TE_COEFFICIENT_CALC]]),3)</f>
        <v>0.25900000000000001</v>
      </c>
      <c r="W289" s="10" cm="1">
        <f t="array" ref="W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9" s="32">
        <v>0</v>
      </c>
      <c r="Y289" s="8">
        <v>0</v>
      </c>
      <c r="Z289" t="s">
        <v>3514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8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9" t="b">
        <v>0</v>
      </c>
      <c r="AY289"/>
      <c r="AZ289"/>
      <c r="BA289"/>
    </row>
    <row r="290" spans="1:53">
      <c r="A290" s="2" t="s">
        <v>308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t="s">
        <v>1880</v>
      </c>
      <c r="F290" t="str">
        <f>_xlfn.XLOOKUP(PROPERTIES[[#This Row],[COUNTRY]],COUNTRIES[COUNTRY_DESCRIPTION],COUNTRIES[COUNTRY_LABEL],"")</f>
        <v>PT</v>
      </c>
      <c r="G290" t="str" cm="1">
        <f t="array" ref="G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0" t="s">
        <v>19</v>
      </c>
      <c r="I290">
        <v>0</v>
      </c>
      <c r="J290">
        <v>6</v>
      </c>
      <c r="K290">
        <v>6</v>
      </c>
      <c r="L290" t="str" cm="1">
        <f t="array" ref="L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0">
        <f>_xlfn.XLOOKUP("LOADINGSPEEDDEF_"&amp;PROPERTIES[[#This Row],[LOADINGSPEED]],LOADINGSPEEDDEF[TYPE],LOADINGSPEEDDEF[SPEED])</f>
        <v>20</v>
      </c>
      <c r="N290" cm="1">
        <f t="array" ref="N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0">
        <f>IF(ISNUMBER(SEARCH("passenger",PROPERTIES[[#This Row],[CARGODEF]])),1,0)</f>
        <v>0</v>
      </c>
      <c r="P290" s="29">
        <v>111</v>
      </c>
      <c r="Q290">
        <v>1500</v>
      </c>
      <c r="R290">
        <v>120</v>
      </c>
      <c r="S290" s="26">
        <v>0</v>
      </c>
      <c r="T290" s="25">
        <f>IFERROR(PROPERTIES[[#This Row],[TE_STARTING_KN]]/(PROPERTIES[[#This Row],[WEIGHT]]*9.81),0)</f>
        <v>0</v>
      </c>
      <c r="U290" s="25">
        <v>0.15</v>
      </c>
      <c r="V290" s="22">
        <f>ROUND(IF(IFERROR(PROPERTIES[[#This Row],[TE_COEFFICIENT_CALC]],0)=0,PROPERTIES[[#This Row],[TE_COEFFICIENT_MANUAL]],PROPERTIES[[#This Row],[TE_COEFFICIENT_CALC]]),3)</f>
        <v>0.15</v>
      </c>
      <c r="W290" s="10" cm="1">
        <f t="array" ref="W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290" s="32">
        <v>0</v>
      </c>
      <c r="Y290" s="8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8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9" t="b">
        <v>0</v>
      </c>
      <c r="AY290"/>
      <c r="AZ290"/>
      <c r="BA290"/>
    </row>
    <row r="291" spans="1:53">
      <c r="A291" s="2" t="s">
        <v>309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t="s">
        <v>1772</v>
      </c>
      <c r="F291" t="str">
        <f>_xlfn.XLOOKUP(PROPERTIES[[#This Row],[COUNTRY]],COUNTRIES[COUNTRY_DESCRIPTION],COUNTRIES[COUNTRY_LABEL],"")</f>
        <v>FR</v>
      </c>
      <c r="G291" t="str" cm="1">
        <f t="array" ref="G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1" t="s">
        <v>19</v>
      </c>
      <c r="I291">
        <v>0</v>
      </c>
      <c r="J291">
        <v>8</v>
      </c>
      <c r="K291">
        <v>8</v>
      </c>
      <c r="L291" t="str" cm="1">
        <f t="array" ref="L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1">
        <f>_xlfn.XLOOKUP("LOADINGSPEEDDEF_"&amp;PROPERTIES[[#This Row],[LOADINGSPEED]],LOADINGSPEEDDEF[TYPE],LOADINGSPEEDDEF[SPEED])</f>
        <v>20</v>
      </c>
      <c r="N291" cm="1">
        <f t="array" ref="N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1">
        <f>IF(ISNUMBER(SEARCH("passenger",PROPERTIES[[#This Row],[CARGODEF]])),1,0)</f>
        <v>0</v>
      </c>
      <c r="P291" s="29">
        <v>83</v>
      </c>
      <c r="Q291">
        <v>2367</v>
      </c>
      <c r="R291">
        <v>140</v>
      </c>
      <c r="S291" s="26">
        <v>250</v>
      </c>
      <c r="T291" s="25">
        <f>IFERROR(PROPERTIES[[#This Row],[TE_STARTING_KN]]/(PROPERTIES[[#This Row],[WEIGHT]]*9.81),0)</f>
        <v>0.30703855176055905</v>
      </c>
      <c r="U291" s="25">
        <v>0.34</v>
      </c>
      <c r="V291" s="22">
        <f>ROUND(IF(IFERROR(PROPERTIES[[#This Row],[TE_COEFFICIENT_CALC]],0)=0,PROPERTIES[[#This Row],[TE_COEFFICIENT_MANUAL]],PROPERTIES[[#This Row],[TE_COEFFICIENT_CALC]]),3)</f>
        <v>0.307</v>
      </c>
      <c r="W291" s="10" cm="1">
        <f t="array" ref="W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1" s="32">
        <v>0</v>
      </c>
      <c r="Y291" s="8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8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9" t="b">
        <v>0</v>
      </c>
      <c r="AY291"/>
      <c r="AZ291"/>
      <c r="BA291"/>
    </row>
    <row r="292" spans="1:53">
      <c r="A292" s="2" t="s">
        <v>310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t="s">
        <v>1862</v>
      </c>
      <c r="F292" t="str">
        <f>_xlfn.XLOOKUP(PROPERTIES[[#This Row],[COUNTRY]],COUNTRIES[COUNTRY_DESCRIPTION],COUNTRIES[COUNTRY_LABEL],"")</f>
        <v>NL</v>
      </c>
      <c r="G292" t="str" cm="1">
        <f t="array" ref="G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2" t="s">
        <v>19</v>
      </c>
      <c r="I292">
        <v>0</v>
      </c>
      <c r="J292">
        <v>6</v>
      </c>
      <c r="K292">
        <v>6</v>
      </c>
      <c r="L292" t="str" cm="1">
        <f t="array" ref="L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2">
        <f>_xlfn.XLOOKUP("LOADINGSPEEDDEF_"&amp;PROPERTIES[[#This Row],[LOADINGSPEED]],LOADINGSPEEDDEF[TYPE],LOADINGSPEEDDEF[SPEED])</f>
        <v>20</v>
      </c>
      <c r="N292" t="str" cm="1">
        <f t="array" ref="N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2">
        <f>IF(ISNUMBER(SEARCH("passenger",PROPERTIES[[#This Row],[CARGODEF]])),1,0)</f>
        <v>0</v>
      </c>
      <c r="P292" s="29">
        <v>80</v>
      </c>
      <c r="Q292">
        <v>1580</v>
      </c>
      <c r="R292">
        <v>120</v>
      </c>
      <c r="S292" s="26">
        <v>290</v>
      </c>
      <c r="T292" s="25">
        <f>IFERROR(PROPERTIES[[#This Row],[TE_STARTING_KN]]/(PROPERTIES[[#This Row],[WEIGHT]]*9.81),0)</f>
        <v>0.36952089704383279</v>
      </c>
      <c r="U292" s="25">
        <v>0.38</v>
      </c>
      <c r="V292" s="22">
        <f>ROUND(IF(IFERROR(PROPERTIES[[#This Row],[TE_COEFFICIENT_CALC]],0)=0,PROPERTIES[[#This Row],[TE_COEFFICIENT_MANUAL]],PROPERTIES[[#This Row],[TE_COEFFICIENT_CALC]]),3)</f>
        <v>0.37</v>
      </c>
      <c r="W292" s="10" cm="1">
        <f t="array" ref="W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2" s="32">
        <v>0</v>
      </c>
      <c r="Y292" s="8">
        <v>0</v>
      </c>
      <c r="Z292" t="s">
        <v>869</v>
      </c>
      <c r="AA292" t="s">
        <v>875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8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9" t="b">
        <v>0</v>
      </c>
      <c r="AY292"/>
      <c r="AZ292"/>
      <c r="BA292"/>
    </row>
    <row r="293" spans="1:53">
      <c r="A293" s="2" t="s">
        <v>311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t="s">
        <v>1762</v>
      </c>
      <c r="F293" t="str">
        <f>_xlfn.XLOOKUP(PROPERTIES[[#This Row],[COUNTRY]],COUNTRIES[COUNTRY_DESCRIPTION],COUNTRIES[COUNTRY_LABEL],"")</f>
        <v>EG</v>
      </c>
      <c r="G293" t="str" cm="1">
        <f t="array" ref="G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3" t="s">
        <v>19</v>
      </c>
      <c r="I293">
        <v>0</v>
      </c>
      <c r="J293">
        <v>8</v>
      </c>
      <c r="K293">
        <v>8</v>
      </c>
      <c r="L293" t="str" cm="1">
        <f t="array" ref="L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3">
        <f>_xlfn.XLOOKUP("LOADINGSPEEDDEF_"&amp;PROPERTIES[[#This Row],[LOADINGSPEED]],LOADINGSPEEDDEF[TYPE],LOADINGSPEEDDEF[SPEED])</f>
        <v>20</v>
      </c>
      <c r="N293" t="str" cm="1">
        <f t="array" ref="N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3">
        <f>IF(ISNUMBER(SEARCH("passenger",PROPERTIES[[#This Row],[CARGODEF]])),1,0)</f>
        <v>0</v>
      </c>
      <c r="P293" s="29">
        <v>140</v>
      </c>
      <c r="Q293">
        <v>4250</v>
      </c>
      <c r="R293">
        <v>121</v>
      </c>
      <c r="S293" s="26">
        <v>810</v>
      </c>
      <c r="T293" s="25">
        <f>IFERROR(PROPERTIES[[#This Row],[TE_STARTING_KN]]/(PROPERTIES[[#This Row],[WEIGHT]]*9.81),0)</f>
        <v>0.58977719528178241</v>
      </c>
      <c r="U293" s="25">
        <v>0.53</v>
      </c>
      <c r="V293" s="22">
        <f>ROUND(IF(IFERROR(PROPERTIES[[#This Row],[TE_COEFFICIENT_CALC]],0)=0,PROPERTIES[[#This Row],[TE_COEFFICIENT_MANUAL]],PROPERTIES[[#This Row],[TE_COEFFICIENT_CALC]]),3)</f>
        <v>0.59</v>
      </c>
      <c r="W293" s="10" cm="1">
        <f t="array" ref="W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3" s="32">
        <v>0</v>
      </c>
      <c r="Y293" s="8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8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9" t="b">
        <v>0</v>
      </c>
      <c r="AY293"/>
      <c r="AZ293"/>
      <c r="BA293"/>
    </row>
    <row r="294" spans="1:53">
      <c r="A294" s="2" t="s">
        <v>312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t="s">
        <v>1942</v>
      </c>
      <c r="F294" t="str">
        <f>_xlfn.XLOOKUP(PROPERTIES[[#This Row],[COUNTRY]],COUNTRIES[COUNTRY_DESCRIPTION],COUNTRIES[COUNTRY_LABEL],"")</f>
        <v>ZA</v>
      </c>
      <c r="G294" t="str" cm="1">
        <f t="array" ref="G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4" t="s">
        <v>19</v>
      </c>
      <c r="I294">
        <v>0</v>
      </c>
      <c r="J294">
        <v>8</v>
      </c>
      <c r="K294">
        <v>8</v>
      </c>
      <c r="L294" t="str" cm="1">
        <f t="array" ref="L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4">
        <f>_xlfn.XLOOKUP("LOADINGSPEEDDEF_"&amp;PROPERTIES[[#This Row],[LOADINGSPEED]],LOADINGSPEEDDEF[TYPE],LOADINGSPEEDDEF[SPEED])</f>
        <v>20</v>
      </c>
      <c r="N294" t="str" cm="1">
        <f t="array" ref="N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4">
        <f>IF(ISNUMBER(SEARCH("passenger",PROPERTIES[[#This Row],[CARGODEF]])),1,0)</f>
        <v>0</v>
      </c>
      <c r="P294" s="29">
        <v>123</v>
      </c>
      <c r="Q294">
        <v>4262</v>
      </c>
      <c r="R294">
        <v>130</v>
      </c>
      <c r="S294" s="26">
        <v>0</v>
      </c>
      <c r="T294" s="25">
        <f>IFERROR(PROPERTIES[[#This Row],[TE_STARTING_KN]]/(PROPERTIES[[#This Row],[WEIGHT]]*9.81),0)</f>
        <v>0</v>
      </c>
      <c r="U294" s="25">
        <v>0.26</v>
      </c>
      <c r="V294" s="22">
        <f>ROUND(IF(IFERROR(PROPERTIES[[#This Row],[TE_COEFFICIENT_CALC]],0)=0,PROPERTIES[[#This Row],[TE_COEFFICIENT_MANUAL]],PROPERTIES[[#This Row],[TE_COEFFICIENT_CALC]]),3)</f>
        <v>0.26</v>
      </c>
      <c r="W294" s="10" cm="1">
        <f t="array" ref="W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4" s="32">
        <v>0</v>
      </c>
      <c r="Y294" s="8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8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9" t="b">
        <v>0</v>
      </c>
      <c r="AY294"/>
      <c r="AZ294"/>
      <c r="BA294"/>
    </row>
    <row r="295" spans="1:53">
      <c r="A295" s="2" t="s">
        <v>313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t="s">
        <v>1765</v>
      </c>
      <c r="F295" t="str">
        <f>_xlfn.XLOOKUP(PROPERTIES[[#This Row],[COUNTRY]],COUNTRIES[COUNTRY_DESCRIPTION],COUNTRIES[COUNTRY_LABEL],"")</f>
        <v>ES</v>
      </c>
      <c r="G295" t="str" cm="1">
        <f t="array" ref="G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5" t="s">
        <v>19</v>
      </c>
      <c r="I295">
        <v>0</v>
      </c>
      <c r="J295">
        <v>5</v>
      </c>
      <c r="K295">
        <v>5</v>
      </c>
      <c r="L295" t="str" cm="1">
        <f t="array" ref="L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5">
        <f>_xlfn.XLOOKUP("LOADINGSPEEDDEF_"&amp;PROPERTIES[[#This Row],[LOADINGSPEED]],LOADINGSPEEDDEF[TYPE],LOADINGSPEEDDEF[SPEED])</f>
        <v>20</v>
      </c>
      <c r="N295" t="str" cm="1">
        <f t="array" ref="N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5">
        <f>IF(ISNUMBER(SEARCH("passenger",PROPERTIES[[#This Row],[CARGODEF]])),1,0)</f>
        <v>0</v>
      </c>
      <c r="P295" s="29">
        <v>64</v>
      </c>
      <c r="Q295">
        <v>710</v>
      </c>
      <c r="R295">
        <v>120</v>
      </c>
      <c r="S295" s="26">
        <v>126</v>
      </c>
      <c r="T295" s="25">
        <f>IFERROR(PROPERTIES[[#This Row],[TE_STARTING_KN]]/(PROPERTIES[[#This Row],[WEIGHT]]*9.81),0)</f>
        <v>0.2006880733944954</v>
      </c>
      <c r="U295" s="25">
        <v>0.2</v>
      </c>
      <c r="V295" s="22">
        <f>ROUND(IF(IFERROR(PROPERTIES[[#This Row],[TE_COEFFICIENT_CALC]],0)=0,PROPERTIES[[#This Row],[TE_COEFFICIENT_MANUAL]],PROPERTIES[[#This Row],[TE_COEFFICIENT_CALC]]),3)</f>
        <v>0.20100000000000001</v>
      </c>
      <c r="W295" s="10" cm="1">
        <f t="array" ref="W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295" s="32">
        <v>0</v>
      </c>
      <c r="Y295" s="8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8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9" t="b">
        <v>0</v>
      </c>
      <c r="AY295"/>
      <c r="AZ295"/>
      <c r="BA295"/>
    </row>
    <row r="296" spans="1:53">
      <c r="A296" s="2" t="s">
        <v>314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t="s">
        <v>1710</v>
      </c>
      <c r="F296" t="str">
        <f>_xlfn.XLOOKUP(PROPERTIES[[#This Row],[COUNTRY]],COUNTRIES[COUNTRY_DESCRIPTION],COUNTRIES[COUNTRY_LABEL],"")</f>
        <v>AU</v>
      </c>
      <c r="G296" t="str" cm="1">
        <f t="array" ref="G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6" t="s">
        <v>19</v>
      </c>
      <c r="I296">
        <v>0</v>
      </c>
      <c r="J296">
        <v>7</v>
      </c>
      <c r="K296">
        <v>7</v>
      </c>
      <c r="L296" t="str" cm="1">
        <f t="array" ref="L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6">
        <f>_xlfn.XLOOKUP("LOADINGSPEEDDEF_"&amp;PROPERTIES[[#This Row],[LOADINGSPEED]],LOADINGSPEEDDEF[TYPE],LOADINGSPEEDDEF[SPEED])</f>
        <v>20</v>
      </c>
      <c r="N296" t="str" cm="1">
        <f t="array" ref="N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6">
        <f>IF(ISNUMBER(SEARCH("passenger",PROPERTIES[[#This Row],[CARGODEF]])),1,0)</f>
        <v>0</v>
      </c>
      <c r="P296" s="29">
        <v>124</v>
      </c>
      <c r="Q296">
        <v>3300</v>
      </c>
      <c r="R296">
        <v>115</v>
      </c>
      <c r="S296" s="26">
        <v>385</v>
      </c>
      <c r="T296" s="25">
        <f>IFERROR(PROPERTIES[[#This Row],[TE_STARTING_KN]]/(PROPERTIES[[#This Row],[WEIGHT]]*9.81),0)</f>
        <v>0.3164973200486666</v>
      </c>
      <c r="U296" s="25">
        <v>0.34</v>
      </c>
      <c r="V296" s="22">
        <f>ROUND(IF(IFERROR(PROPERTIES[[#This Row],[TE_COEFFICIENT_CALC]],0)=0,PROPERTIES[[#This Row],[TE_COEFFICIENT_MANUAL]],PROPERTIES[[#This Row],[TE_COEFFICIENT_CALC]]),3)</f>
        <v>0.316</v>
      </c>
      <c r="W296" s="10" cm="1">
        <f t="array" ref="W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6" s="32">
        <v>0</v>
      </c>
      <c r="Y296" s="8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8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9" t="b">
        <v>0</v>
      </c>
      <c r="AY296"/>
      <c r="AZ296"/>
      <c r="BA296"/>
    </row>
    <row r="297" spans="1:53">
      <c r="A297" s="2" t="s">
        <v>315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t="s">
        <v>1863</v>
      </c>
      <c r="F297" t="str">
        <f>_xlfn.XLOOKUP(PROPERTIES[[#This Row],[COUNTRY]],COUNTRIES[COUNTRY_DESCRIPTION],COUNTRIES[COUNTRY_LABEL],"")</f>
        <v>NO</v>
      </c>
      <c r="G297" t="str" cm="1">
        <f t="array" ref="G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7" t="s">
        <v>19</v>
      </c>
      <c r="I297">
        <v>0</v>
      </c>
      <c r="J297">
        <v>8</v>
      </c>
      <c r="K297">
        <v>8</v>
      </c>
      <c r="L297" t="str" cm="1">
        <f t="array" ref="L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7">
        <f>_xlfn.XLOOKUP("LOADINGSPEEDDEF_"&amp;PROPERTIES[[#This Row],[LOADINGSPEED]],LOADINGSPEEDDEF[TYPE],LOADINGSPEEDDEF[SPEED])</f>
        <v>20</v>
      </c>
      <c r="N297" t="str" cm="1">
        <f t="array" ref="N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7">
        <f>IF(ISNUMBER(SEARCH("passenger",PROPERTIES[[#This Row],[CARGODEF]])),1,0)</f>
        <v>0</v>
      </c>
      <c r="P297" s="29">
        <v>123</v>
      </c>
      <c r="Q297">
        <v>4262</v>
      </c>
      <c r="R297">
        <v>120</v>
      </c>
      <c r="S297" s="26">
        <v>400</v>
      </c>
      <c r="T297" s="25">
        <f>IFERROR(PROPERTIES[[#This Row],[TE_STARTING_KN]]/(PROPERTIES[[#This Row],[WEIGHT]]*9.81),0)</f>
        <v>0.33150178596587188</v>
      </c>
      <c r="U297" s="25">
        <v>0.33</v>
      </c>
      <c r="V297" s="22">
        <f>ROUND(IF(IFERROR(PROPERTIES[[#This Row],[TE_COEFFICIENT_CALC]],0)=0,PROPERTIES[[#This Row],[TE_COEFFICIENT_MANUAL]],PROPERTIES[[#This Row],[TE_COEFFICIENT_CALC]]),3)</f>
        <v>0.33200000000000002</v>
      </c>
      <c r="W297" s="10" cm="1">
        <f t="array" ref="W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7" s="32">
        <v>0</v>
      </c>
      <c r="Y297" s="8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8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9" t="b">
        <v>0</v>
      </c>
      <c r="AY297"/>
      <c r="AZ297"/>
      <c r="BA297"/>
    </row>
    <row r="298" spans="1:53">
      <c r="A298" s="2" t="s">
        <v>316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t="s">
        <v>1710</v>
      </c>
      <c r="F298" t="str">
        <f>_xlfn.XLOOKUP(PROPERTIES[[#This Row],[COUNTRY]],COUNTRIES[COUNTRY_DESCRIPTION],COUNTRIES[COUNTRY_LABEL],"")</f>
        <v>AU</v>
      </c>
      <c r="G298" t="str" cm="1">
        <f t="array" ref="G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8" t="s">
        <v>19</v>
      </c>
      <c r="I298">
        <v>0</v>
      </c>
      <c r="J298">
        <v>8</v>
      </c>
      <c r="K298">
        <v>8</v>
      </c>
      <c r="L298" t="str" cm="1">
        <f t="array" ref="L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8">
        <f>_xlfn.XLOOKUP("LOADINGSPEEDDEF_"&amp;PROPERTIES[[#This Row],[LOADINGSPEED]],LOADINGSPEEDDEF[TYPE],LOADINGSPEEDDEF[SPEED])</f>
        <v>20</v>
      </c>
      <c r="N298" t="str" cm="1">
        <f t="array" ref="N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8">
        <f>IF(ISNUMBER(SEARCH("passenger",PROPERTIES[[#This Row],[CARGODEF]])),1,0)</f>
        <v>0</v>
      </c>
      <c r="P298" s="29">
        <v>140</v>
      </c>
      <c r="Q298">
        <v>4520</v>
      </c>
      <c r="R298">
        <v>115</v>
      </c>
      <c r="S298" s="26">
        <v>535</v>
      </c>
      <c r="T298" s="25">
        <f>IFERROR(PROPERTIES[[#This Row],[TE_STARTING_KN]]/(PROPERTIES[[#This Row],[WEIGHT]]*9.81),0)</f>
        <v>0.38954419688364639</v>
      </c>
      <c r="U298" s="25">
        <v>0.38</v>
      </c>
      <c r="V298" s="22">
        <f>ROUND(IF(IFERROR(PROPERTIES[[#This Row],[TE_COEFFICIENT_CALC]],0)=0,PROPERTIES[[#This Row],[TE_COEFFICIENT_MANUAL]],PROPERTIES[[#This Row],[TE_COEFFICIENT_CALC]]),3)</f>
        <v>0.39</v>
      </c>
      <c r="W298" s="10" cm="1">
        <f t="array" ref="W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8" s="32">
        <v>0</v>
      </c>
      <c r="Y298" s="8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8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9" t="b">
        <v>0</v>
      </c>
      <c r="AY298"/>
      <c r="AZ298"/>
      <c r="BA298"/>
    </row>
    <row r="299" spans="1:53">
      <c r="A299" s="2" t="s">
        <v>317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t="s">
        <v>1773</v>
      </c>
      <c r="F299" t="str">
        <f>_xlfn.XLOOKUP(PROPERTIES[[#This Row],[COUNTRY]],COUNTRIES[COUNTRY_DESCRIPTION],COUNTRIES[COUNTRY_LABEL],"")</f>
        <v>GB</v>
      </c>
      <c r="G299" t="str" cm="1">
        <f t="array" ref="G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9" t="s">
        <v>19</v>
      </c>
      <c r="I299">
        <v>0</v>
      </c>
      <c r="J299">
        <v>8</v>
      </c>
      <c r="K299">
        <v>8</v>
      </c>
      <c r="L299" t="str" cm="1">
        <f t="array" ref="L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9">
        <f>_xlfn.XLOOKUP("LOADINGSPEEDDEF_"&amp;PROPERTIES[[#This Row],[LOADINGSPEED]],LOADINGSPEEDDEF[TYPE],LOADINGSPEEDDEF[SPEED])</f>
        <v>20</v>
      </c>
      <c r="N299" t="str" cm="1">
        <f t="array" ref="N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9">
        <f>IF(ISNUMBER(SEARCH("passenger",PROPERTIES[[#This Row],[CARGODEF]])),1,0)</f>
        <v>0</v>
      </c>
      <c r="P299" s="29">
        <v>85</v>
      </c>
      <c r="Q299">
        <v>3800</v>
      </c>
      <c r="R299">
        <v>160</v>
      </c>
      <c r="S299" s="26">
        <v>317</v>
      </c>
      <c r="T299" s="25">
        <f>IFERROR(PROPERTIES[[#This Row],[TE_STARTING_KN]]/(PROPERTIES[[#This Row],[WEIGHT]]*9.81),0)</f>
        <v>0.38016429813515618</v>
      </c>
      <c r="U299" s="25">
        <v>0.37</v>
      </c>
      <c r="V299" s="22">
        <f>ROUND(IF(IFERROR(PROPERTIES[[#This Row],[TE_COEFFICIENT_CALC]],0)=0,PROPERTIES[[#This Row],[TE_COEFFICIENT_MANUAL]],PROPERTIES[[#This Row],[TE_COEFFICIENT_CALC]]),3)</f>
        <v>0.38</v>
      </c>
      <c r="W299" s="10" cm="1">
        <f t="array" ref="W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9" s="32">
        <v>0</v>
      </c>
      <c r="Y299" s="8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8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9" t="b">
        <v>0</v>
      </c>
      <c r="AY299"/>
      <c r="AZ299"/>
      <c r="BA299"/>
    </row>
    <row r="300" spans="1:53">
      <c r="A300" s="2" t="s">
        <v>318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t="s">
        <v>1928</v>
      </c>
      <c r="F300" t="str">
        <f>_xlfn.XLOOKUP(PROPERTIES[[#This Row],[COUNTRY]],COUNTRIES[COUNTRY_DESCRIPTION],COUNTRIES[COUNTRY_LABEL],"")</f>
        <v>US</v>
      </c>
      <c r="G300" t="str" cm="1">
        <f t="array" ref="G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0" t="s">
        <v>19</v>
      </c>
      <c r="I300">
        <v>0</v>
      </c>
      <c r="J300">
        <v>8</v>
      </c>
      <c r="K300">
        <v>8</v>
      </c>
      <c r="L300" t="str" cm="1">
        <f t="array" ref="L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00">
        <f>_xlfn.XLOOKUP("LOADINGSPEEDDEF_"&amp;PROPERTIES[[#This Row],[LOADINGSPEED]],LOADINGSPEEDDEF[TYPE],LOADINGSPEEDDEF[SPEED])</f>
        <v>20</v>
      </c>
      <c r="N300" t="str" cm="1">
        <f t="array" ref="N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0">
        <f>IF(ISNUMBER(SEARCH("passenger",PROPERTIES[[#This Row],[CARGODEF]])),1,0)</f>
        <v>0</v>
      </c>
      <c r="P300" s="29">
        <v>120</v>
      </c>
      <c r="Q300">
        <v>4200</v>
      </c>
      <c r="R300">
        <v>201</v>
      </c>
      <c r="S300" s="26">
        <v>290</v>
      </c>
      <c r="T300" s="25">
        <f>IFERROR(PROPERTIES[[#This Row],[TE_STARTING_KN]]/(PROPERTIES[[#This Row],[WEIGHT]]*9.81),0)</f>
        <v>0.24634726469588855</v>
      </c>
      <c r="U300" s="25">
        <v>0.24</v>
      </c>
      <c r="V300" s="22">
        <f>ROUND(IF(IFERROR(PROPERTIES[[#This Row],[TE_COEFFICIENT_CALC]],0)=0,PROPERTIES[[#This Row],[TE_COEFFICIENT_MANUAL]],PROPERTIES[[#This Row],[TE_COEFFICIENT_CALC]]),3)</f>
        <v>0.246</v>
      </c>
      <c r="W300" s="10" cm="1">
        <f t="array" ref="W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00" s="32">
        <v>0</v>
      </c>
      <c r="Y300" s="8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8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9" t="b">
        <v>0</v>
      </c>
      <c r="AY300"/>
      <c r="AZ300"/>
      <c r="BA300"/>
    </row>
    <row r="301" spans="1:53">
      <c r="A301" s="2" t="s">
        <v>319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t="s">
        <v>1707</v>
      </c>
      <c r="F301" t="str">
        <f>_xlfn.XLOOKUP(PROPERTIES[[#This Row],[COUNTRY]],COUNTRIES[COUNTRY_DESCRIPTION],COUNTRIES[COUNTRY_LABEL],"")</f>
        <v>AR</v>
      </c>
      <c r="G301" t="str" cm="1">
        <f t="array" ref="G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1" t="s">
        <v>320</v>
      </c>
      <c r="I301">
        <v>84</v>
      </c>
      <c r="J301">
        <v>7</v>
      </c>
      <c r="K301">
        <v>7</v>
      </c>
      <c r="L301" t="str" cm="1">
        <f t="array" ref="L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1">
        <f>_xlfn.XLOOKUP("LOADINGSPEEDDEF_"&amp;PROPERTIES[[#This Row],[LOADINGSPEED]],LOADINGSPEEDDEF[TYPE],LOADINGSPEEDDEF[SPEED])</f>
        <v>120</v>
      </c>
      <c r="N301" cm="1">
        <f t="array" ref="N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1">
        <f>IF(ISNUMBER(SEARCH("passenger",PROPERTIES[[#This Row],[CARGODEF]])),1,0)</f>
        <v>1</v>
      </c>
      <c r="P301" s="29">
        <v>13.5</v>
      </c>
      <c r="Q301">
        <v>310</v>
      </c>
      <c r="R301">
        <v>50</v>
      </c>
      <c r="S301" s="26">
        <v>0</v>
      </c>
      <c r="T301" s="25">
        <f>IFERROR(PROPERTIES[[#This Row],[TE_STARTING_KN]]/(PROPERTIES[[#This Row],[WEIGHT]]*9.81),0)</f>
        <v>0</v>
      </c>
      <c r="U301" s="25">
        <v>0.2</v>
      </c>
      <c r="V301" s="22">
        <f>ROUND(IF(IFERROR(PROPERTIES[[#This Row],[TE_COEFFICIENT_CALC]],0)=0,PROPERTIES[[#This Row],[TE_COEFFICIENT_MANUAL]],PROPERTIES[[#This Row],[TE_COEFFICIENT_CALC]]),3)</f>
        <v>0.2</v>
      </c>
      <c r="W301" s="10" cm="1">
        <f t="array" ref="W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X301" s="32">
        <v>142</v>
      </c>
      <c r="Y301" s="8">
        <v>7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8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9" t="b">
        <v>0</v>
      </c>
      <c r="AY301"/>
      <c r="AZ301"/>
      <c r="BA301"/>
    </row>
    <row r="302" spans="1:53">
      <c r="A302" s="2" t="s">
        <v>322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t="s">
        <v>1928</v>
      </c>
      <c r="F302" t="str">
        <f>_xlfn.XLOOKUP(PROPERTIES[[#This Row],[COUNTRY]],COUNTRIES[COUNTRY_DESCRIPTION],COUNTRIES[COUNTRY_LABEL],"")</f>
        <v>US</v>
      </c>
      <c r="G302" t="str" cm="1">
        <f t="array" ref="G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2" t="s">
        <v>320</v>
      </c>
      <c r="I302">
        <v>105</v>
      </c>
      <c r="J302">
        <v>8</v>
      </c>
      <c r="K302">
        <v>8</v>
      </c>
      <c r="L302" t="str" cm="1">
        <f t="array" ref="L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2">
        <f>_xlfn.XLOOKUP("LOADINGSPEEDDEF_"&amp;PROPERTIES[[#This Row],[LOADINGSPEED]],LOADINGSPEEDDEF[TYPE],LOADINGSPEEDDEF[SPEED])</f>
        <v>120</v>
      </c>
      <c r="N302" cm="1">
        <f t="array" ref="N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2">
        <f>IF(ISNUMBER(SEARCH("passenger",PROPERTIES[[#This Row],[CARGODEF]])),1,0)</f>
        <v>1</v>
      </c>
      <c r="P302" s="29">
        <v>42</v>
      </c>
      <c r="Q302">
        <v>760</v>
      </c>
      <c r="R302">
        <v>90</v>
      </c>
      <c r="S302" s="26">
        <v>0</v>
      </c>
      <c r="T302" s="25">
        <f>IFERROR(PROPERTIES[[#This Row],[TE_STARTING_KN]]/(PROPERTIES[[#This Row],[WEIGHT]]*9.81),0)</f>
        <v>0</v>
      </c>
      <c r="U302" s="25">
        <v>0.24</v>
      </c>
      <c r="V302" s="22">
        <f>ROUND(IF(IFERROR(PROPERTIES[[#This Row],[TE_COEFFICIENT_CALC]],0)=0,PROPERTIES[[#This Row],[TE_COEFFICIENT_MANUAL]],PROPERTIES[[#This Row],[TE_COEFFICIENT_CALC]]),3)</f>
        <v>0.24</v>
      </c>
      <c r="W302" s="10" cm="1">
        <f t="array" ref="W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2" s="32">
        <v>156</v>
      </c>
      <c r="Y302" s="8">
        <v>8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8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9" t="b">
        <v>0</v>
      </c>
      <c r="AY302"/>
      <c r="AZ302"/>
      <c r="BA302"/>
    </row>
    <row r="303" spans="1:53">
      <c r="A303" s="2" t="s">
        <v>323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t="s">
        <v>1754</v>
      </c>
      <c r="F303" t="str">
        <f>_xlfn.XLOOKUP(PROPERTIES[[#This Row],[COUNTRY]],COUNTRIES[COUNTRY_DESCRIPTION],COUNTRIES[COUNTRY_LABEL],"")</f>
        <v>DE</v>
      </c>
      <c r="G303" t="str" cm="1">
        <f t="array" ref="G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3" t="s">
        <v>320</v>
      </c>
      <c r="I303">
        <v>95</v>
      </c>
      <c r="J303">
        <v>8</v>
      </c>
      <c r="K303">
        <v>8</v>
      </c>
      <c r="L303" t="str" cm="1">
        <f t="array" ref="L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3">
        <f>_xlfn.XLOOKUP("LOADINGSPEEDDEF_"&amp;PROPERTIES[[#This Row],[LOADINGSPEED]],LOADINGSPEEDDEF[TYPE],LOADINGSPEEDDEF[SPEED])</f>
        <v>120</v>
      </c>
      <c r="N303" cm="1">
        <f t="array" ref="N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3">
        <f>IF(ISNUMBER(SEARCH("passenger",PROPERTIES[[#This Row],[CARGODEF]])),1,0)</f>
        <v>1</v>
      </c>
      <c r="P303" s="29">
        <v>48</v>
      </c>
      <c r="Q303">
        <v>800</v>
      </c>
      <c r="R303">
        <v>80</v>
      </c>
      <c r="S303" s="26">
        <v>0</v>
      </c>
      <c r="T303" s="25">
        <f>IFERROR(PROPERTIES[[#This Row],[TE_STARTING_KN]]/(PROPERTIES[[#This Row],[WEIGHT]]*9.81),0)</f>
        <v>0</v>
      </c>
      <c r="U303" s="25">
        <v>0.22</v>
      </c>
      <c r="V303" s="22">
        <f>ROUND(IF(IFERROR(PROPERTIES[[#This Row],[TE_COEFFICIENT_CALC]],0)=0,PROPERTIES[[#This Row],[TE_COEFFICIENT_MANUAL]],PROPERTIES[[#This Row],[TE_COEFFICIENT_CALC]]),3)</f>
        <v>0.22</v>
      </c>
      <c r="W303" s="10" cm="1">
        <f t="array" ref="W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03" s="32">
        <v>160</v>
      </c>
      <c r="Y303" s="8">
        <v>8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8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9" t="b">
        <v>0</v>
      </c>
      <c r="AY303"/>
      <c r="AZ303"/>
      <c r="BA303"/>
    </row>
    <row r="304" spans="1:53">
      <c r="A304" s="2" t="s">
        <v>324</v>
      </c>
      <c r="B304">
        <v>1957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t="s">
        <v>1772</v>
      </c>
      <c r="F304" t="str">
        <f>_xlfn.XLOOKUP(PROPERTIES[[#This Row],[COUNTRY]],COUNTRIES[COUNTRY_DESCRIPTION],COUNTRIES[COUNTRY_LABEL],"")</f>
        <v>FR</v>
      </c>
      <c r="G304" t="str" cm="1">
        <f t="array" ref="G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4" t="s">
        <v>320</v>
      </c>
      <c r="I304">
        <v>65</v>
      </c>
      <c r="J304">
        <v>7</v>
      </c>
      <c r="K304">
        <v>7</v>
      </c>
      <c r="L304" t="str" cm="1">
        <f t="array" ref="L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4">
        <f>_xlfn.XLOOKUP("LOADINGSPEEDDEF_"&amp;PROPERTIES[[#This Row],[LOADINGSPEED]],LOADINGSPEEDDEF[TYPE],LOADINGSPEEDDEF[SPEED])</f>
        <v>120</v>
      </c>
      <c r="N304" cm="1">
        <f t="array" ref="N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4">
        <f>IF(ISNUMBER(SEARCH("passenger",PROPERTIES[[#This Row],[CARGODEF]])),1,0)</f>
        <v>1</v>
      </c>
      <c r="P304" s="29">
        <v>10</v>
      </c>
      <c r="Q304">
        <v>140</v>
      </c>
      <c r="R304">
        <v>45</v>
      </c>
      <c r="S304" s="26">
        <v>0</v>
      </c>
      <c r="T304" s="25">
        <f>IFERROR(PROPERTIES[[#This Row],[TE_STARTING_KN]]/(PROPERTIES[[#This Row],[WEIGHT]]*9.81),0)</f>
        <v>0</v>
      </c>
      <c r="U304" s="25">
        <v>0.18</v>
      </c>
      <c r="V304" s="22">
        <f>ROUND(IF(IFERROR(PROPERTIES[[#This Row],[TE_COEFFICIENT_CALC]],0)=0,PROPERTIES[[#This Row],[TE_COEFFICIENT_MANUAL]],PROPERTIES[[#This Row],[TE_COEFFICIENT_CALC]]),3)</f>
        <v>0.18</v>
      </c>
      <c r="W304" s="10" cm="1">
        <f t="array" ref="W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4" s="32">
        <v>140</v>
      </c>
      <c r="Y304" s="8">
        <v>7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8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9" t="b">
        <v>0</v>
      </c>
      <c r="AY304"/>
      <c r="AZ304"/>
      <c r="BA304"/>
    </row>
    <row r="305" spans="1:53">
      <c r="A305" s="2" t="s">
        <v>325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t="s">
        <v>1880</v>
      </c>
      <c r="F305" t="str">
        <f>_xlfn.XLOOKUP(PROPERTIES[[#This Row],[COUNTRY]],COUNTRIES[COUNTRY_DESCRIPTION],COUNTRIES[COUNTRY_LABEL],"")</f>
        <v>PT</v>
      </c>
      <c r="G305" t="str" cm="1">
        <f t="array" ref="G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5" t="s">
        <v>320</v>
      </c>
      <c r="I305">
        <v>85</v>
      </c>
      <c r="J305">
        <v>8</v>
      </c>
      <c r="K305">
        <v>8</v>
      </c>
      <c r="L305" t="str" cm="1">
        <f t="array" ref="L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5">
        <f>_xlfn.XLOOKUP("LOADINGSPEEDDEF_"&amp;PROPERTIES[[#This Row],[LOADINGSPEED]],LOADINGSPEEDDEF[TYPE],LOADINGSPEEDDEF[SPEED])</f>
        <v>120</v>
      </c>
      <c r="N305" cm="1">
        <f t="array" ref="N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5">
        <f>IF(ISNUMBER(SEARCH("passenger",PROPERTIES[[#This Row],[CARGODEF]])),1,0)</f>
        <v>1</v>
      </c>
      <c r="P305" s="29">
        <v>19</v>
      </c>
      <c r="Q305">
        <v>430</v>
      </c>
      <c r="R305">
        <v>60</v>
      </c>
      <c r="S305" s="26">
        <v>0</v>
      </c>
      <c r="T305" s="25">
        <f>IFERROR(PROPERTIES[[#This Row],[TE_STARTING_KN]]/(PROPERTIES[[#This Row],[WEIGHT]]*9.81),0)</f>
        <v>0</v>
      </c>
      <c r="U305" s="25">
        <v>0.24</v>
      </c>
      <c r="V305" s="22">
        <f>ROUND(IF(IFERROR(PROPERTIES[[#This Row],[TE_COEFFICIENT_CALC]],0)=0,PROPERTIES[[#This Row],[TE_COEFFICIENT_MANUAL]],PROPERTIES[[#This Row],[TE_COEFFICIENT_CALC]]),3)</f>
        <v>0.24</v>
      </c>
      <c r="W305" s="10" cm="1">
        <f t="array" ref="W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5" s="32">
        <v>160</v>
      </c>
      <c r="Y305" s="8">
        <v>8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8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9" t="b">
        <v>0</v>
      </c>
      <c r="AY305"/>
      <c r="AZ305"/>
      <c r="BA305"/>
    </row>
    <row r="306" spans="1:53">
      <c r="A306" s="2" t="s">
        <v>326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t="s">
        <v>1796</v>
      </c>
      <c r="F306" t="str">
        <f>_xlfn.XLOOKUP(PROPERTIES[[#This Row],[COUNTRY]],COUNTRIES[COUNTRY_DESCRIPTION],COUNTRIES[COUNTRY_LABEL],"")</f>
        <v>HU</v>
      </c>
      <c r="G306" t="str" cm="1">
        <f t="array" ref="G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6" t="s">
        <v>320</v>
      </c>
      <c r="I306">
        <v>132</v>
      </c>
      <c r="J306">
        <v>8</v>
      </c>
      <c r="K306">
        <v>8</v>
      </c>
      <c r="L306" t="str" cm="1">
        <f t="array" ref="L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6">
        <f>_xlfn.XLOOKUP("LOADINGSPEEDDEF_"&amp;PROPERTIES[[#This Row],[LOADINGSPEED]],LOADINGSPEEDDEF[TYPE],LOADINGSPEEDDEF[SPEED])</f>
        <v>120</v>
      </c>
      <c r="N306" t="str" cm="1">
        <f t="array" ref="N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6">
        <f>IF(ISNUMBER(SEARCH("passenger",PROPERTIES[[#This Row],[CARGODEF]])),1,0)</f>
        <v>1</v>
      </c>
      <c r="P306" s="29">
        <v>32.5</v>
      </c>
      <c r="Q306">
        <v>770</v>
      </c>
      <c r="R306">
        <v>90</v>
      </c>
      <c r="S306" s="26">
        <v>0</v>
      </c>
      <c r="T306" s="25">
        <f>IFERROR(PROPERTIES[[#This Row],[TE_STARTING_KN]]/(PROPERTIES[[#This Row],[WEIGHT]]*9.81),0)</f>
        <v>0</v>
      </c>
      <c r="U306" s="25">
        <v>0.25</v>
      </c>
      <c r="V306" s="22">
        <f>ROUND(IF(IFERROR(PROPERTIES[[#This Row],[TE_COEFFICIENT_CALC]],0)=0,PROPERTIES[[#This Row],[TE_COEFFICIENT_MANUAL]],PROPERTIES[[#This Row],[TE_COEFFICIENT_CALC]]),3)</f>
        <v>0.25</v>
      </c>
      <c r="W306" s="10" cm="1">
        <f t="array" ref="W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6" s="32">
        <v>150</v>
      </c>
      <c r="Y306" s="8">
        <v>8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8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9" t="b">
        <v>0</v>
      </c>
      <c r="AY306"/>
      <c r="AZ306"/>
      <c r="BA306"/>
    </row>
    <row r="307" spans="1:53">
      <c r="A307" s="2" t="s">
        <v>327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t="s">
        <v>1863</v>
      </c>
      <c r="F307" t="str">
        <f>_xlfn.XLOOKUP(PROPERTIES[[#This Row],[COUNTRY]],COUNTRIES[COUNTRY_DESCRIPTION],COUNTRIES[COUNTRY_LABEL],"")</f>
        <v>NO</v>
      </c>
      <c r="G307" t="str" cm="1">
        <f t="array" ref="G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7" t="s">
        <v>320</v>
      </c>
      <c r="I307">
        <v>135</v>
      </c>
      <c r="J307">
        <v>7</v>
      </c>
      <c r="K307">
        <v>7</v>
      </c>
      <c r="L307" t="str" cm="1">
        <f t="array" ref="L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7">
        <f>_xlfn.XLOOKUP("LOADINGSPEEDDEF_"&amp;PROPERTIES[[#This Row],[LOADINGSPEED]],LOADINGSPEEDDEF[TYPE],LOADINGSPEEDDEF[SPEED])</f>
        <v>120</v>
      </c>
      <c r="N307" cm="1">
        <f t="array" ref="N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7">
        <f>IF(ISNUMBER(SEARCH("passenger",PROPERTIES[[#This Row],[CARGODEF]])),1,0)</f>
        <v>1</v>
      </c>
      <c r="P307" s="29">
        <v>29.7</v>
      </c>
      <c r="Q307">
        <v>1050</v>
      </c>
      <c r="R307">
        <v>70</v>
      </c>
      <c r="S307" s="26">
        <v>0</v>
      </c>
      <c r="T307" s="25">
        <f>IFERROR(PROPERTIES[[#This Row],[TE_STARTING_KN]]/(PROPERTIES[[#This Row],[WEIGHT]]*9.81),0)</f>
        <v>0</v>
      </c>
      <c r="U307" s="25">
        <v>0.25</v>
      </c>
      <c r="V307" s="22">
        <f>ROUND(IF(IFERROR(PROPERTIES[[#This Row],[TE_COEFFICIENT_CALC]],0)=0,PROPERTIES[[#This Row],[TE_COEFFICIENT_MANUAL]],PROPERTIES[[#This Row],[TE_COEFFICIENT_CALC]]),3)</f>
        <v>0.25</v>
      </c>
      <c r="W307" s="10" cm="1">
        <f t="array" ref="W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7" s="32">
        <v>180</v>
      </c>
      <c r="Y307" s="8">
        <v>7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8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9" t="b">
        <v>0</v>
      </c>
      <c r="AY307"/>
      <c r="AZ307"/>
      <c r="BA307"/>
    </row>
    <row r="308" spans="1:53">
      <c r="A308" s="2" t="s">
        <v>328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t="s">
        <v>1735</v>
      </c>
      <c r="F308" t="str">
        <f>_xlfn.XLOOKUP(PROPERTIES[[#This Row],[COUNTRY]],COUNTRIES[COUNTRY_DESCRIPTION],COUNTRIES[COUNTRY_LABEL],"")</f>
        <v>CA</v>
      </c>
      <c r="G308" t="str" cm="1">
        <f t="array" ref="G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8" t="s">
        <v>320</v>
      </c>
      <c r="I308">
        <v>150</v>
      </c>
      <c r="J308">
        <v>8</v>
      </c>
      <c r="K308">
        <v>8</v>
      </c>
      <c r="L308" t="str" cm="1">
        <f t="array" ref="L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8">
        <f>_xlfn.XLOOKUP("LOADINGSPEEDDEF_"&amp;PROPERTIES[[#This Row],[LOADINGSPEED]],LOADINGSPEEDDEF[TYPE],LOADINGSPEEDDEF[SPEED])</f>
        <v>120</v>
      </c>
      <c r="N308" cm="1">
        <f t="array" ref="N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8">
        <f>IF(ISNUMBER(SEARCH("passenger",PROPERTIES[[#This Row],[CARGODEF]])),1,0)</f>
        <v>1</v>
      </c>
      <c r="P308" s="29">
        <v>27.5</v>
      </c>
      <c r="Q308">
        <v>960</v>
      </c>
      <c r="R308">
        <v>80</v>
      </c>
      <c r="S308" s="26">
        <v>0</v>
      </c>
      <c r="T308" s="25">
        <f>IFERROR(PROPERTIES[[#This Row],[TE_STARTING_KN]]/(PROPERTIES[[#This Row],[WEIGHT]]*9.81),0)</f>
        <v>0</v>
      </c>
      <c r="U308" s="25">
        <v>0.25</v>
      </c>
      <c r="V308" s="22">
        <f>ROUND(IF(IFERROR(PROPERTIES[[#This Row],[TE_COEFFICIENT_CALC]],0)=0,PROPERTIES[[#This Row],[TE_COEFFICIENT_MANUAL]],PROPERTIES[[#This Row],[TE_COEFFICIENT_CALC]]),3)</f>
        <v>0.25</v>
      </c>
      <c r="W308" s="10" cm="1">
        <f t="array" ref="W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8" s="32">
        <v>210</v>
      </c>
      <c r="Y308" s="8">
        <v>8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8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9" t="b">
        <v>0</v>
      </c>
      <c r="AY308"/>
      <c r="AZ308"/>
      <c r="BA308"/>
    </row>
    <row r="309" spans="1:53">
      <c r="A309" s="2" t="s">
        <v>329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t="s">
        <v>1754</v>
      </c>
      <c r="F309" t="str">
        <f>_xlfn.XLOOKUP(PROPERTIES[[#This Row],[COUNTRY]],COUNTRIES[COUNTRY_DESCRIPTION],COUNTRIES[COUNTRY_LABEL],"")</f>
        <v>DE</v>
      </c>
      <c r="G309" t="str" cm="1">
        <f t="array" ref="G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9" t="s">
        <v>320</v>
      </c>
      <c r="I309">
        <v>145</v>
      </c>
      <c r="J309">
        <v>8</v>
      </c>
      <c r="K309">
        <v>8</v>
      </c>
      <c r="L309" t="str" cm="1">
        <f t="array" ref="L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9">
        <f>_xlfn.XLOOKUP("LOADINGSPEEDDEF_"&amp;PROPERTIES[[#This Row],[LOADINGSPEED]],LOADINGSPEEDDEF[TYPE],LOADINGSPEEDDEF[SPEED])</f>
        <v>120</v>
      </c>
      <c r="N309" t="str" cm="1">
        <f t="array" ref="N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9">
        <f>IF(ISNUMBER(SEARCH("passenger",PROPERTIES[[#This Row],[CARGODEF]])),1,0)</f>
        <v>1</v>
      </c>
      <c r="P309" s="29">
        <v>25.8</v>
      </c>
      <c r="Q309">
        <v>965</v>
      </c>
      <c r="R309">
        <v>80</v>
      </c>
      <c r="S309" s="26">
        <v>0</v>
      </c>
      <c r="T309" s="25">
        <f>IFERROR(PROPERTIES[[#This Row],[TE_STARTING_KN]]/(PROPERTIES[[#This Row],[WEIGHT]]*9.81),0)</f>
        <v>0</v>
      </c>
      <c r="U309" s="25">
        <v>0.26</v>
      </c>
      <c r="V309" s="22">
        <f>ROUND(IF(IFERROR(PROPERTIES[[#This Row],[TE_COEFFICIENT_CALC]],0)=0,PROPERTIES[[#This Row],[TE_COEFFICIENT_MANUAL]],PROPERTIES[[#This Row],[TE_COEFFICIENT_CALC]]),3)</f>
        <v>0.26</v>
      </c>
      <c r="W309" s="10" cm="1">
        <f t="array" ref="W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309" s="32">
        <v>195</v>
      </c>
      <c r="Y309" s="8">
        <v>8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8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9" t="b">
        <v>0</v>
      </c>
      <c r="AY309"/>
      <c r="AZ309"/>
      <c r="BA309"/>
    </row>
    <row r="310" spans="1:53">
      <c r="A310" s="2" t="s">
        <v>330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t="s">
        <v>1928</v>
      </c>
      <c r="F310" t="str">
        <f>_xlfn.XLOOKUP(PROPERTIES[[#This Row],[COUNTRY]],COUNTRIES[COUNTRY_DESCRIPTION],COUNTRIES[COUNTRY_LABEL],"")</f>
        <v>US</v>
      </c>
      <c r="G310" t="str" cm="1">
        <f t="array" ref="G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0" t="s">
        <v>320</v>
      </c>
      <c r="I310">
        <v>150</v>
      </c>
      <c r="J310">
        <v>8</v>
      </c>
      <c r="K310">
        <v>8</v>
      </c>
      <c r="L310" t="str" cm="1">
        <f t="array" ref="L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0">
        <f>_xlfn.XLOOKUP("LOADINGSPEEDDEF_"&amp;PROPERTIES[[#This Row],[LOADINGSPEED]],LOADINGSPEEDDEF[TYPE],LOADINGSPEEDDEF[SPEED])</f>
        <v>120</v>
      </c>
      <c r="N310" cm="1">
        <f t="array" ref="N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0">
        <f>IF(ISNUMBER(SEARCH("passenger",PROPERTIES[[#This Row],[CARGODEF]])),1,0)</f>
        <v>1</v>
      </c>
      <c r="P310" s="29">
        <v>37</v>
      </c>
      <c r="Q310">
        <v>920</v>
      </c>
      <c r="R310">
        <v>110</v>
      </c>
      <c r="S310" s="26">
        <v>0</v>
      </c>
      <c r="T310" s="25">
        <f>IFERROR(PROPERTIES[[#This Row],[TE_STARTING_KN]]/(PROPERTIES[[#This Row],[WEIGHT]]*9.81),0)</f>
        <v>0</v>
      </c>
      <c r="U310" s="25">
        <v>0.26</v>
      </c>
      <c r="V310" s="22">
        <f>ROUND(IF(IFERROR(PROPERTIES[[#This Row],[TE_COEFFICIENT_CALC]],0)=0,PROPERTIES[[#This Row],[TE_COEFFICIENT_MANUAL]],PROPERTIES[[#This Row],[TE_COEFFICIENT_CALC]]),3)</f>
        <v>0.26</v>
      </c>
      <c r="W310" s="10" cm="1">
        <f t="array" ref="W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0" s="32">
        <v>162</v>
      </c>
      <c r="Y310" s="8">
        <v>8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8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9" t="b">
        <v>0</v>
      </c>
      <c r="AY310"/>
      <c r="AZ310"/>
      <c r="BA310"/>
    </row>
    <row r="311" spans="1:53">
      <c r="A311" s="2" t="s">
        <v>331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t="s">
        <v>1862</v>
      </c>
      <c r="F311" t="str">
        <f>_xlfn.XLOOKUP(PROPERTIES[[#This Row],[COUNTRY]],COUNTRIES[COUNTRY_DESCRIPTION],COUNTRIES[COUNTRY_LABEL],"")</f>
        <v>NL</v>
      </c>
      <c r="G311" t="str" cm="1">
        <f t="array" ref="G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1" t="s">
        <v>320</v>
      </c>
      <c r="I311">
        <v>150</v>
      </c>
      <c r="J311">
        <v>8</v>
      </c>
      <c r="K311">
        <v>8</v>
      </c>
      <c r="L311" t="str" cm="1">
        <f t="array" ref="L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1">
        <f>_xlfn.XLOOKUP("LOADINGSPEEDDEF_"&amp;PROPERTIES[[#This Row],[LOADINGSPEED]],LOADINGSPEEDDEF[TYPE],LOADINGSPEEDDEF[SPEED])</f>
        <v>120</v>
      </c>
      <c r="N311" cm="1">
        <f t="array" ref="N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1">
        <f>IF(ISNUMBER(SEARCH("passenger",PROPERTIES[[#This Row],[CARGODEF]])),1,0)</f>
        <v>1</v>
      </c>
      <c r="P311" s="29">
        <v>27</v>
      </c>
      <c r="Q311">
        <v>1050</v>
      </c>
      <c r="R311">
        <v>80</v>
      </c>
      <c r="S311" s="26">
        <v>0</v>
      </c>
      <c r="T311" s="25">
        <f>IFERROR(PROPERTIES[[#This Row],[TE_STARTING_KN]]/(PROPERTIES[[#This Row],[WEIGHT]]*9.81),0)</f>
        <v>0</v>
      </c>
      <c r="U311" s="25">
        <v>0.26</v>
      </c>
      <c r="V311" s="22">
        <f>ROUND(IF(IFERROR(PROPERTIES[[#This Row],[TE_COEFFICIENT_CALC]],0)=0,PROPERTIES[[#This Row],[TE_COEFFICIENT_MANUAL]],PROPERTIES[[#This Row],[TE_COEFFICIENT_CALC]]),3)</f>
        <v>0.26</v>
      </c>
      <c r="W311" s="10" cm="1">
        <f t="array" ref="W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1" s="32">
        <v>174</v>
      </c>
      <c r="Y311" s="8">
        <v>7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8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9" t="b">
        <v>0</v>
      </c>
      <c r="AY311"/>
      <c r="AZ311"/>
      <c r="BA311"/>
    </row>
    <row r="312" spans="1:53">
      <c r="A312" s="2" t="s">
        <v>332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t="s">
        <v>1893</v>
      </c>
      <c r="F312" t="str">
        <f>_xlfn.XLOOKUP(PROPERTIES[[#This Row],[COUNTRY]],COUNTRIES[COUNTRY_DESCRIPTION],COUNTRIES[COUNTRY_LABEL],"")</f>
        <v>SE</v>
      </c>
      <c r="G312" t="str" cm="1">
        <f t="array" ref="G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2" t="s">
        <v>320</v>
      </c>
      <c r="I312">
        <v>150</v>
      </c>
      <c r="J312">
        <v>8</v>
      </c>
      <c r="K312">
        <v>8</v>
      </c>
      <c r="L312" t="str" cm="1">
        <f t="array" ref="L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2">
        <f>_xlfn.XLOOKUP("LOADINGSPEEDDEF_"&amp;PROPERTIES[[#This Row],[LOADINGSPEED]],LOADINGSPEEDDEF[TYPE],LOADINGSPEEDDEF[SPEED])</f>
        <v>120</v>
      </c>
      <c r="N312" cm="1">
        <f t="array" ref="N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2">
        <f>IF(ISNUMBER(SEARCH("passenger",PROPERTIES[[#This Row],[CARGODEF]])),1,0)</f>
        <v>1</v>
      </c>
      <c r="P312" s="29">
        <v>23.5</v>
      </c>
      <c r="Q312">
        <v>860</v>
      </c>
      <c r="R312">
        <v>90</v>
      </c>
      <c r="S312" s="26">
        <v>0</v>
      </c>
      <c r="T312" s="25">
        <f>IFERROR(PROPERTIES[[#This Row],[TE_STARTING_KN]]/(PROPERTIES[[#This Row],[WEIGHT]]*9.81),0)</f>
        <v>0</v>
      </c>
      <c r="U312" s="25">
        <v>0.27</v>
      </c>
      <c r="V312" s="22">
        <f>ROUND(IF(IFERROR(PROPERTIES[[#This Row],[TE_COEFFICIENT_CALC]],0)=0,PROPERTIES[[#This Row],[TE_COEFFICIENT_MANUAL]],PROPERTIES[[#This Row],[TE_COEFFICIENT_CALC]]),3)</f>
        <v>0.27</v>
      </c>
      <c r="W312" s="10" cm="1">
        <f t="array" ref="W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2" s="32">
        <v>158</v>
      </c>
      <c r="Y312" s="8">
        <v>8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8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9" t="b">
        <v>0</v>
      </c>
      <c r="AY312"/>
      <c r="AZ312"/>
      <c r="BA312"/>
    </row>
    <row r="313" spans="1:53">
      <c r="A313" s="2" t="s">
        <v>333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t="s">
        <v>1817</v>
      </c>
      <c r="F313" t="str">
        <f>_xlfn.XLOOKUP(PROPERTIES[[#This Row],[COUNTRY]],COUNTRIES[COUNTRY_DESCRIPTION],COUNTRIES[COUNTRY_LABEL],"")</f>
        <v>KP</v>
      </c>
      <c r="G313" t="str" cm="1">
        <f t="array" ref="G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3" t="s">
        <v>320</v>
      </c>
      <c r="I313">
        <v>160</v>
      </c>
      <c r="J313">
        <v>8</v>
      </c>
      <c r="K313">
        <v>8</v>
      </c>
      <c r="L313" t="str" cm="1">
        <f t="array" ref="L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3">
        <f>_xlfn.XLOOKUP("LOADINGSPEEDDEF_"&amp;PROPERTIES[[#This Row],[LOADINGSPEED]],LOADINGSPEEDDEF[TYPE],LOADINGSPEEDDEF[SPEED])</f>
        <v>120</v>
      </c>
      <c r="N313" t="str" cm="1">
        <f t="array" ref="N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3">
        <f>IF(ISNUMBER(SEARCH("passenger",PROPERTIES[[#This Row],[CARGODEF]])),1,0)</f>
        <v>1</v>
      </c>
      <c r="P313" s="29">
        <v>28.5</v>
      </c>
      <c r="Q313">
        <v>800</v>
      </c>
      <c r="R313">
        <v>70</v>
      </c>
      <c r="S313" s="26">
        <v>0</v>
      </c>
      <c r="T313" s="25">
        <f>IFERROR(PROPERTIES[[#This Row],[TE_STARTING_KN]]/(PROPERTIES[[#This Row],[WEIGHT]]*9.81),0)</f>
        <v>0</v>
      </c>
      <c r="U313" s="25">
        <v>0.23</v>
      </c>
      <c r="V313" s="22">
        <f>ROUND(IF(IFERROR(PROPERTIES[[#This Row],[TE_COEFFICIENT_CALC]],0)=0,PROPERTIES[[#This Row],[TE_COEFFICIENT_MANUAL]],PROPERTIES[[#This Row],[TE_COEFFICIENT_CALC]]),3)</f>
        <v>0.23</v>
      </c>
      <c r="W313" s="10" cm="1">
        <f t="array" ref="W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3" s="32">
        <v>180</v>
      </c>
      <c r="Y313" s="8">
        <v>8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8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9" t="b">
        <v>0</v>
      </c>
      <c r="AY313"/>
      <c r="AZ313"/>
      <c r="BA313"/>
    </row>
    <row r="314" spans="1:53">
      <c r="A314" s="2" t="s">
        <v>334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t="s">
        <v>1767</v>
      </c>
      <c r="F314" t="str">
        <f>_xlfn.XLOOKUP(PROPERTIES[[#This Row],[COUNTRY]],COUNTRIES[COUNTRY_DESCRIPTION],COUNTRIES[COUNTRY_LABEL],"")</f>
        <v>FI</v>
      </c>
      <c r="G314" t="str" cm="1">
        <f t="array" ref="G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4" t="s">
        <v>320</v>
      </c>
      <c r="I314">
        <v>144</v>
      </c>
      <c r="J314">
        <v>8</v>
      </c>
      <c r="K314">
        <v>8</v>
      </c>
      <c r="L314" t="str" cm="1">
        <f t="array" ref="L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4">
        <f>_xlfn.XLOOKUP("LOADINGSPEEDDEF_"&amp;PROPERTIES[[#This Row],[LOADINGSPEED]],LOADINGSPEEDDEF[TYPE],LOADINGSPEEDDEF[SPEED])</f>
        <v>120</v>
      </c>
      <c r="N314" t="str" cm="1">
        <f t="array" ref="N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4">
        <f>IF(ISNUMBER(SEARCH("passenger",PROPERTIES[[#This Row],[CARGODEF]])),1,0)</f>
        <v>1</v>
      </c>
      <c r="P314" s="29">
        <v>30.8</v>
      </c>
      <c r="Q314">
        <v>1340</v>
      </c>
      <c r="R314">
        <v>90</v>
      </c>
      <c r="S314" s="26">
        <v>0</v>
      </c>
      <c r="T314" s="25">
        <f>IFERROR(PROPERTIES[[#This Row],[TE_STARTING_KN]]/(PROPERTIES[[#This Row],[WEIGHT]]*9.81),0)</f>
        <v>0</v>
      </c>
      <c r="U314" s="25">
        <v>0.3</v>
      </c>
      <c r="V314" s="22">
        <f>ROUND(IF(IFERROR(PROPERTIES[[#This Row],[TE_COEFFICIENT_CALC]],0)=0,PROPERTIES[[#This Row],[TE_COEFFICIENT_MANUAL]],PROPERTIES[[#This Row],[TE_COEFFICIENT_CALC]]),3)</f>
        <v>0.3</v>
      </c>
      <c r="W314" s="10" cm="1">
        <f t="array" ref="W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4" s="32">
        <v>165</v>
      </c>
      <c r="Y314" s="8">
        <v>8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8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9" t="b">
        <v>0</v>
      </c>
      <c r="AY314"/>
      <c r="AZ314"/>
      <c r="BA314"/>
    </row>
    <row r="315" spans="1:53">
      <c r="A315" s="2" t="s">
        <v>335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t="s">
        <v>1728</v>
      </c>
      <c r="F315" t="str">
        <f>_xlfn.XLOOKUP(PROPERTIES[[#This Row],[COUNTRY]],COUNTRIES[COUNTRY_DESCRIPTION],COUNTRIES[COUNTRY_LABEL],"")</f>
        <v>BR</v>
      </c>
      <c r="G315" t="str" cm="1">
        <f t="array" ref="G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5" t="s">
        <v>320</v>
      </c>
      <c r="I315">
        <v>160</v>
      </c>
      <c r="J315">
        <v>8</v>
      </c>
      <c r="K315">
        <v>8</v>
      </c>
      <c r="L315" t="str" cm="1">
        <f t="array" ref="L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5">
        <f>_xlfn.XLOOKUP("LOADINGSPEEDDEF_"&amp;PROPERTIES[[#This Row],[LOADINGSPEED]],LOADINGSPEEDDEF[TYPE],LOADINGSPEEDDEF[SPEED])</f>
        <v>120</v>
      </c>
      <c r="N315" t="str" cm="1">
        <f t="array" ref="N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5">
        <f>IF(ISNUMBER(SEARCH("passenger",PROPERTIES[[#This Row],[CARGODEF]])),1,0)</f>
        <v>1</v>
      </c>
      <c r="P315" s="29">
        <v>52</v>
      </c>
      <c r="Q315">
        <v>1530</v>
      </c>
      <c r="R315">
        <v>100</v>
      </c>
      <c r="S315" s="26">
        <v>0</v>
      </c>
      <c r="T315" s="25">
        <f>IFERROR(PROPERTIES[[#This Row],[TE_STARTING_KN]]/(PROPERTIES[[#This Row],[WEIGHT]]*9.81),0)</f>
        <v>0</v>
      </c>
      <c r="U315" s="25">
        <v>0.25</v>
      </c>
      <c r="V315" s="22">
        <f>ROUND(IF(IFERROR(PROPERTIES[[#This Row],[TE_COEFFICIENT_CALC]],0)=0,PROPERTIES[[#This Row],[TE_COEFFICIENT_MANUAL]],PROPERTIES[[#This Row],[TE_COEFFICIENT_CALC]]),3)</f>
        <v>0.25</v>
      </c>
      <c r="W315" s="10" cm="1">
        <f t="array" ref="W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5" s="32">
        <v>230</v>
      </c>
      <c r="Y315" s="8">
        <v>8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8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9" t="b">
        <v>0</v>
      </c>
      <c r="AY315"/>
      <c r="AZ315"/>
      <c r="BA315"/>
    </row>
    <row r="316" spans="1:53">
      <c r="A316" s="2" t="s">
        <v>336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t="s">
        <v>1887</v>
      </c>
      <c r="F316" t="str">
        <f>_xlfn.XLOOKUP(PROPERTIES[[#This Row],[COUNTRY]],COUNTRIES[COUNTRY_DESCRIPTION],COUNTRIES[COUNTRY_LABEL],"")</f>
        <v>RU</v>
      </c>
      <c r="G316" t="str" cm="1">
        <f t="array" ref="G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6" t="s">
        <v>320</v>
      </c>
      <c r="I316">
        <v>144</v>
      </c>
      <c r="J316">
        <v>8</v>
      </c>
      <c r="K316">
        <v>8</v>
      </c>
      <c r="L316" t="str" cm="1">
        <f t="array" ref="L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6">
        <f>_xlfn.XLOOKUP("LOADINGSPEEDDEF_"&amp;PROPERTIES[[#This Row],[LOADINGSPEED]],LOADINGSPEEDDEF[TYPE],LOADINGSPEEDDEF[SPEED])</f>
        <v>120</v>
      </c>
      <c r="N316" t="str" cm="1">
        <f t="array" ref="N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6">
        <f>IF(ISNUMBER(SEARCH("passenger",PROPERTIES[[#This Row],[CARGODEF]])),1,0)</f>
        <v>1</v>
      </c>
      <c r="P316" s="29">
        <v>36</v>
      </c>
      <c r="Q316">
        <v>1115</v>
      </c>
      <c r="R316">
        <v>100</v>
      </c>
      <c r="S316" s="26">
        <v>0</v>
      </c>
      <c r="T316" s="25">
        <f>IFERROR(PROPERTIES[[#This Row],[TE_STARTING_KN]]/(PROPERTIES[[#This Row],[WEIGHT]]*9.81),0)</f>
        <v>0</v>
      </c>
      <c r="U316" s="25">
        <v>0.3</v>
      </c>
      <c r="V316" s="22">
        <f>ROUND(IF(IFERROR(PROPERTIES[[#This Row],[TE_COEFFICIENT_CALC]],0)=0,PROPERTIES[[#This Row],[TE_COEFFICIENT_MANUAL]],PROPERTIES[[#This Row],[TE_COEFFICIENT_CALC]]),3)</f>
        <v>0.3</v>
      </c>
      <c r="W316" s="10" cm="1">
        <f t="array" ref="W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6" s="32">
        <v>144</v>
      </c>
      <c r="Y316" s="8">
        <v>8</v>
      </c>
      <c r="Z316" t="s">
        <v>3514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8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9" t="b">
        <v>0</v>
      </c>
      <c r="AY316"/>
      <c r="AZ316"/>
      <c r="BA316"/>
    </row>
    <row r="317" spans="1:53">
      <c r="A317" s="2" t="s">
        <v>337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t="s">
        <v>1810</v>
      </c>
      <c r="F317" t="str">
        <f>_xlfn.XLOOKUP(PROPERTIES[[#This Row],[COUNTRY]],COUNTRIES[COUNTRY_DESCRIPTION],COUNTRIES[COUNTRY_LABEL],"")</f>
        <v>JP</v>
      </c>
      <c r="G317" t="str" cm="1">
        <f t="array" ref="G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7" t="s">
        <v>320</v>
      </c>
      <c r="I317">
        <v>100</v>
      </c>
      <c r="J317">
        <v>8</v>
      </c>
      <c r="K317">
        <v>8</v>
      </c>
      <c r="L317" t="str" cm="1">
        <f t="array" ref="L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7">
        <f>_xlfn.XLOOKUP("LOADINGSPEEDDEF_"&amp;PROPERTIES[[#This Row],[LOADINGSPEED]],LOADINGSPEEDDEF[TYPE],LOADINGSPEEDDEF[SPEED])</f>
        <v>120</v>
      </c>
      <c r="N317" t="str" cm="1">
        <f t="array" ref="N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7">
        <f>IF(ISNUMBER(SEARCH("passenger",PROPERTIES[[#This Row],[CARGODEF]])),1,0)</f>
        <v>1</v>
      </c>
      <c r="P317" s="29">
        <v>23.5</v>
      </c>
      <c r="Q317">
        <v>640</v>
      </c>
      <c r="R317">
        <v>80</v>
      </c>
      <c r="S317" s="26">
        <v>0</v>
      </c>
      <c r="T317" s="25">
        <f>IFERROR(PROPERTIES[[#This Row],[TE_STARTING_KN]]/(PROPERTIES[[#This Row],[WEIGHT]]*9.81),0)</f>
        <v>0</v>
      </c>
      <c r="U317" s="25">
        <v>0.28000000000000003</v>
      </c>
      <c r="V317" s="22">
        <f>ROUND(IF(IFERROR(PROPERTIES[[#This Row],[TE_COEFFICIENT_CALC]],0)=0,PROPERTIES[[#This Row],[TE_COEFFICIENT_MANUAL]],PROPERTIES[[#This Row],[TE_COEFFICIENT_CALC]]),3)</f>
        <v>0.28000000000000003</v>
      </c>
      <c r="W317" s="10" cm="1">
        <f t="array" ref="W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7" s="32">
        <v>120</v>
      </c>
      <c r="Y317" s="8">
        <v>8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8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9" t="b">
        <v>0</v>
      </c>
      <c r="AY317"/>
      <c r="AZ317"/>
      <c r="BA317"/>
    </row>
    <row r="318" spans="1:53">
      <c r="A318" s="2" t="s">
        <v>338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t="s">
        <v>1762</v>
      </c>
      <c r="F318" t="str">
        <f>_xlfn.XLOOKUP(PROPERTIES[[#This Row],[COUNTRY]],COUNTRIES[COUNTRY_DESCRIPTION],COUNTRIES[COUNTRY_LABEL],"")</f>
        <v>EG</v>
      </c>
      <c r="G318" t="str" cm="1">
        <f t="array" ref="G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8" t="s">
        <v>320</v>
      </c>
      <c r="I318">
        <v>165</v>
      </c>
      <c r="J318">
        <v>8</v>
      </c>
      <c r="K318">
        <v>8</v>
      </c>
      <c r="L318" t="str" cm="1">
        <f t="array" ref="L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8">
        <f>_xlfn.XLOOKUP("LOADINGSPEEDDEF_"&amp;PROPERTIES[[#This Row],[LOADINGSPEED]],LOADINGSPEEDDEF[TYPE],LOADINGSPEEDDEF[SPEED])</f>
        <v>120</v>
      </c>
      <c r="N318" t="str" cm="1">
        <f t="array" ref="N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8">
        <f>IF(ISNUMBER(SEARCH("passenger",PROPERTIES[[#This Row],[CARGODEF]])),1,0)</f>
        <v>1</v>
      </c>
      <c r="P318" s="29">
        <v>37.5</v>
      </c>
      <c r="Q318">
        <v>1450</v>
      </c>
      <c r="R318">
        <v>100</v>
      </c>
      <c r="S318" s="26">
        <v>0</v>
      </c>
      <c r="T318" s="25">
        <f>IFERROR(PROPERTIES[[#This Row],[TE_STARTING_KN]]/(PROPERTIES[[#This Row],[WEIGHT]]*9.81),0)</f>
        <v>0</v>
      </c>
      <c r="U318" s="25">
        <v>0.26</v>
      </c>
      <c r="V318" s="22">
        <f>ROUND(IF(IFERROR(PROPERTIES[[#This Row],[TE_COEFFICIENT_CALC]],0)=0,PROPERTIES[[#This Row],[TE_COEFFICIENT_MANUAL]],PROPERTIES[[#This Row],[TE_COEFFICIENT_CALC]]),3)</f>
        <v>0.26</v>
      </c>
      <c r="W318" s="10" cm="1">
        <f t="array" ref="W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8" s="32">
        <v>250</v>
      </c>
      <c r="Y318" s="8">
        <v>8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8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9" t="b">
        <v>0</v>
      </c>
      <c r="AY318"/>
      <c r="AZ318"/>
      <c r="BA318"/>
    </row>
    <row r="319" spans="1:53">
      <c r="A319" s="2" t="s">
        <v>339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t="s">
        <v>1773</v>
      </c>
      <c r="F319" t="str">
        <f>_xlfn.XLOOKUP(PROPERTIES[[#This Row],[COUNTRY]],COUNTRIES[COUNTRY_DESCRIPTION],COUNTRIES[COUNTRY_LABEL],"")</f>
        <v>GB</v>
      </c>
      <c r="G319" t="str" cm="1">
        <f t="array" ref="G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9" t="s">
        <v>320</v>
      </c>
      <c r="I319">
        <v>142</v>
      </c>
      <c r="J319">
        <v>6</v>
      </c>
      <c r="K319">
        <v>6</v>
      </c>
      <c r="L319" t="str" cm="1">
        <f t="array" ref="L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9">
        <f>_xlfn.XLOOKUP("LOADINGSPEEDDEF_"&amp;PROPERTIES[[#This Row],[LOADINGSPEED]],LOADINGSPEEDDEF[TYPE],LOADINGSPEEDDEF[SPEED])</f>
        <v>120</v>
      </c>
      <c r="N319" t="str" cm="1">
        <f t="array" ref="N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9">
        <f>IF(ISNUMBER(SEARCH("passenger",PROPERTIES[[#This Row],[CARGODEF]])),1,0)</f>
        <v>1</v>
      </c>
      <c r="P319" s="29">
        <v>33</v>
      </c>
      <c r="Q319">
        <v>640</v>
      </c>
      <c r="R319">
        <v>80</v>
      </c>
      <c r="S319" s="26">
        <v>0</v>
      </c>
      <c r="T319" s="25">
        <f>IFERROR(PROPERTIES[[#This Row],[TE_STARTING_KN]]/(PROPERTIES[[#This Row],[WEIGHT]]*9.81),0)</f>
        <v>0</v>
      </c>
      <c r="U319" s="25">
        <v>0.25</v>
      </c>
      <c r="V319" s="22">
        <f>ROUND(IF(IFERROR(PROPERTIES[[#This Row],[TE_COEFFICIENT_CALC]],0)=0,PROPERTIES[[#This Row],[TE_COEFFICIENT_MANUAL]],PROPERTIES[[#This Row],[TE_COEFFICIENT_CALC]]),3)</f>
        <v>0.25</v>
      </c>
      <c r="W319" s="10" cm="1">
        <f t="array" ref="W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9" s="32">
        <v>200</v>
      </c>
      <c r="Y319" s="8">
        <v>6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8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9" t="b">
        <v>0</v>
      </c>
      <c r="AY319"/>
      <c r="AZ319"/>
      <c r="BA319"/>
    </row>
    <row r="320" spans="1:53">
      <c r="A320" s="2" t="s">
        <v>340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t="s">
        <v>1887</v>
      </c>
      <c r="F320" t="str">
        <f>_xlfn.XLOOKUP(PROPERTIES[[#This Row],[COUNTRY]],COUNTRIES[COUNTRY_DESCRIPTION],COUNTRIES[COUNTRY_LABEL],"")</f>
        <v>RU</v>
      </c>
      <c r="G320" t="str" cm="1">
        <f t="array" ref="G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0" t="s">
        <v>320</v>
      </c>
      <c r="I320">
        <v>144</v>
      </c>
      <c r="J320">
        <v>8</v>
      </c>
      <c r="K320">
        <v>8</v>
      </c>
      <c r="L320" t="str" cm="1">
        <f t="array" ref="L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0">
        <f>_xlfn.XLOOKUP("LOADINGSPEEDDEF_"&amp;PROPERTIES[[#This Row],[LOADINGSPEED]],LOADINGSPEEDDEF[TYPE],LOADINGSPEEDDEF[SPEED])</f>
        <v>120</v>
      </c>
      <c r="N320" t="str" cm="1">
        <f t="array" ref="N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0">
        <f>IF(ISNUMBER(SEARCH("passenger",PROPERTIES[[#This Row],[CARGODEF]])),1,0)</f>
        <v>1</v>
      </c>
      <c r="P320" s="29">
        <v>34</v>
      </c>
      <c r="Q320">
        <v>1180</v>
      </c>
      <c r="R320">
        <v>90</v>
      </c>
      <c r="S320" s="26">
        <v>0</v>
      </c>
      <c r="T320" s="25">
        <f>IFERROR(PROPERTIES[[#This Row],[TE_STARTING_KN]]/(PROPERTIES[[#This Row],[WEIGHT]]*9.81),0)</f>
        <v>0</v>
      </c>
      <c r="U320" s="25">
        <v>0.27</v>
      </c>
      <c r="V320" s="22">
        <f>ROUND(IF(IFERROR(PROPERTIES[[#This Row],[TE_COEFFICIENT_CALC]],0)=0,PROPERTIES[[#This Row],[TE_COEFFICIENT_MANUAL]],PROPERTIES[[#This Row],[TE_COEFFICIENT_CALC]]),3)</f>
        <v>0.27</v>
      </c>
      <c r="W320" s="10" cm="1">
        <f t="array" ref="W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0" s="32">
        <v>147</v>
      </c>
      <c r="Y320" s="8">
        <v>8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8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9" t="b">
        <v>0</v>
      </c>
      <c r="AY320"/>
      <c r="AZ320"/>
      <c r="BA320"/>
    </row>
    <row r="321" spans="1:53">
      <c r="A321" s="2" t="s">
        <v>341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t="s">
        <v>1928</v>
      </c>
      <c r="F321" t="str">
        <f>_xlfn.XLOOKUP(PROPERTIES[[#This Row],[COUNTRY]],COUNTRIES[COUNTRY_DESCRIPTION],COUNTRIES[COUNTRY_LABEL],"")</f>
        <v>US</v>
      </c>
      <c r="G321" t="str" cm="1">
        <f t="array" ref="G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1" t="s">
        <v>320</v>
      </c>
      <c r="I321">
        <v>155</v>
      </c>
      <c r="J321">
        <v>8</v>
      </c>
      <c r="K321">
        <v>8</v>
      </c>
      <c r="L321" t="str" cm="1">
        <f t="array" ref="L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1">
        <f>_xlfn.XLOOKUP("LOADINGSPEEDDEF_"&amp;PROPERTIES[[#This Row],[LOADINGSPEED]],LOADINGSPEEDDEF[TYPE],LOADINGSPEEDDEF[SPEED])</f>
        <v>120</v>
      </c>
      <c r="N321" t="str" cm="1">
        <f t="array" ref="N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1">
        <f>IF(ISNUMBER(SEARCH("passenger",PROPERTIES[[#This Row],[CARGODEF]])),1,0)</f>
        <v>1</v>
      </c>
      <c r="P321" s="29">
        <v>36.5</v>
      </c>
      <c r="Q321">
        <v>910</v>
      </c>
      <c r="R321">
        <v>80</v>
      </c>
      <c r="S321" s="26">
        <v>0</v>
      </c>
      <c r="T321" s="25">
        <f>IFERROR(PROPERTIES[[#This Row],[TE_STARTING_KN]]/(PROPERTIES[[#This Row],[WEIGHT]]*9.81),0)</f>
        <v>0</v>
      </c>
      <c r="U321" s="25">
        <v>0.26</v>
      </c>
      <c r="V321" s="22">
        <f>ROUND(IF(IFERROR(PROPERTIES[[#This Row],[TE_COEFFICIENT_CALC]],0)=0,PROPERTIES[[#This Row],[TE_COEFFICIENT_MANUAL]],PROPERTIES[[#This Row],[TE_COEFFICIENT_CALC]]),3)</f>
        <v>0.26</v>
      </c>
      <c r="W321" s="10" cm="1">
        <f t="array" ref="W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1" s="32">
        <v>150</v>
      </c>
      <c r="Y321" s="8">
        <v>8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8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9" t="b">
        <v>0</v>
      </c>
      <c r="AY321"/>
      <c r="AZ321"/>
      <c r="BA321"/>
    </row>
    <row r="322" spans="1:53">
      <c r="A322" s="2" t="s">
        <v>342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t="s">
        <v>1928</v>
      </c>
      <c r="F322" t="str">
        <f>_xlfn.XLOOKUP(PROPERTIES[[#This Row],[COUNTRY]],COUNTRIES[COUNTRY_DESCRIPTION],COUNTRIES[COUNTRY_LABEL],"")</f>
        <v>US</v>
      </c>
      <c r="G322" t="str" cm="1">
        <f t="array" ref="G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2" t="s">
        <v>320</v>
      </c>
      <c r="I322">
        <v>150</v>
      </c>
      <c r="J322">
        <v>8</v>
      </c>
      <c r="K322">
        <v>8</v>
      </c>
      <c r="L322" t="str" cm="1">
        <f t="array" ref="L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2">
        <f>_xlfn.XLOOKUP("LOADINGSPEEDDEF_"&amp;PROPERTIES[[#This Row],[LOADINGSPEED]],LOADINGSPEEDDEF[TYPE],LOADINGSPEEDDEF[SPEED])</f>
        <v>120</v>
      </c>
      <c r="N322" t="str" cm="1">
        <f t="array" ref="N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2">
        <f>IF(ISNUMBER(SEARCH("passenger",PROPERTIES[[#This Row],[CARGODEF]])),1,0)</f>
        <v>1</v>
      </c>
      <c r="P322" s="29">
        <v>36.5</v>
      </c>
      <c r="Q322">
        <v>1250</v>
      </c>
      <c r="R322">
        <v>70</v>
      </c>
      <c r="S322" s="26">
        <v>0</v>
      </c>
      <c r="T322" s="25">
        <f>IFERROR(PROPERTIES[[#This Row],[TE_STARTING_KN]]/(PROPERTIES[[#This Row],[WEIGHT]]*9.81),0)</f>
        <v>0</v>
      </c>
      <c r="U322" s="25">
        <v>0.28000000000000003</v>
      </c>
      <c r="V322" s="22">
        <f>ROUND(IF(IFERROR(PROPERTIES[[#This Row],[TE_COEFFICIENT_CALC]],0)=0,PROPERTIES[[#This Row],[TE_COEFFICIENT_MANUAL]],PROPERTIES[[#This Row],[TE_COEFFICIENT_CALC]]),3)</f>
        <v>0.28000000000000003</v>
      </c>
      <c r="W322" s="10" cm="1">
        <f t="array" ref="W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2" s="32">
        <v>170</v>
      </c>
      <c r="Y322" s="8">
        <v>8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8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9" t="b">
        <v>0</v>
      </c>
      <c r="AY322"/>
      <c r="AZ322"/>
      <c r="BA322"/>
    </row>
    <row r="323" spans="1:53">
      <c r="A323" s="2" t="s">
        <v>343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t="s">
        <v>1923</v>
      </c>
      <c r="F323" t="str">
        <f>_xlfn.XLOOKUP(PROPERTIES[[#This Row],[COUNTRY]],COUNTRIES[COUNTRY_DESCRIPTION],COUNTRIES[COUNTRY_LABEL],"")</f>
        <v>TW</v>
      </c>
      <c r="G323" t="str" cm="1">
        <f t="array" ref="G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3" t="s">
        <v>320</v>
      </c>
      <c r="I323">
        <v>155</v>
      </c>
      <c r="J323">
        <v>8</v>
      </c>
      <c r="K323">
        <v>8</v>
      </c>
      <c r="L323" t="str" cm="1">
        <f t="array" ref="L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3">
        <f>_xlfn.XLOOKUP("LOADINGSPEEDDEF_"&amp;PROPERTIES[[#This Row],[LOADINGSPEED]],LOADINGSPEEDDEF[TYPE],LOADINGSPEEDDEF[SPEED])</f>
        <v>120</v>
      </c>
      <c r="N323" t="str" cm="1">
        <f t="array" ref="N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3">
        <f>IF(ISNUMBER(SEARCH("passenger",PROPERTIES[[#This Row],[CARGODEF]])),1,0)</f>
        <v>1</v>
      </c>
      <c r="P323" s="29">
        <v>39.5</v>
      </c>
      <c r="Q323">
        <v>1550</v>
      </c>
      <c r="R323">
        <v>80</v>
      </c>
      <c r="S323" s="26">
        <v>0</v>
      </c>
      <c r="T323" s="25">
        <f>IFERROR(PROPERTIES[[#This Row],[TE_STARTING_KN]]/(PROPERTIES[[#This Row],[WEIGHT]]*9.81),0)</f>
        <v>0</v>
      </c>
      <c r="U323" s="25">
        <v>0.3</v>
      </c>
      <c r="V323" s="22">
        <f>ROUND(IF(IFERROR(PROPERTIES[[#This Row],[TE_COEFFICIENT_CALC]],0)=0,PROPERTIES[[#This Row],[TE_COEFFICIENT_MANUAL]],PROPERTIES[[#This Row],[TE_COEFFICIENT_CALC]]),3)</f>
        <v>0.3</v>
      </c>
      <c r="W323" s="10" cm="1">
        <f t="array" ref="W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3" s="32">
        <v>250</v>
      </c>
      <c r="Y323" s="8">
        <v>8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8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9" t="b">
        <v>0</v>
      </c>
      <c r="AY323"/>
      <c r="AZ323"/>
      <c r="BA323"/>
    </row>
    <row r="324" spans="1:53">
      <c r="A324" s="2" t="s">
        <v>344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t="s">
        <v>1862</v>
      </c>
      <c r="F324" t="str">
        <f>_xlfn.XLOOKUP(PROPERTIES[[#This Row],[COUNTRY]],COUNTRIES[COUNTRY_DESCRIPTION],COUNTRIES[COUNTRY_LABEL],"")</f>
        <v>NL</v>
      </c>
      <c r="G324" t="str" cm="1">
        <f t="array" ref="G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4" t="s">
        <v>320</v>
      </c>
      <c r="I324">
        <v>125</v>
      </c>
      <c r="J324">
        <v>8</v>
      </c>
      <c r="K324">
        <v>8</v>
      </c>
      <c r="L324" t="str" cm="1">
        <f t="array" ref="L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4">
        <f>_xlfn.XLOOKUP("LOADINGSPEEDDEF_"&amp;PROPERTIES[[#This Row],[LOADINGSPEED]],LOADINGSPEEDDEF[TYPE],LOADINGSPEEDDEF[SPEED])</f>
        <v>120</v>
      </c>
      <c r="N324" t="str" cm="1">
        <f t="array" ref="N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4">
        <f>IF(ISNUMBER(SEARCH("passenger",PROPERTIES[[#This Row],[CARGODEF]])),1,0)</f>
        <v>1</v>
      </c>
      <c r="P324" s="29">
        <v>24</v>
      </c>
      <c r="Q324">
        <v>1020</v>
      </c>
      <c r="R324">
        <v>70</v>
      </c>
      <c r="S324" s="26">
        <v>0</v>
      </c>
      <c r="T324" s="25">
        <f>IFERROR(PROPERTIES[[#This Row],[TE_STARTING_KN]]/(PROPERTIES[[#This Row],[WEIGHT]]*9.81),0)</f>
        <v>0</v>
      </c>
      <c r="U324" s="25">
        <v>0.28000000000000003</v>
      </c>
      <c r="V324" s="22">
        <f>ROUND(IF(IFERROR(PROPERTIES[[#This Row],[TE_COEFFICIENT_CALC]],0)=0,PROPERTIES[[#This Row],[TE_COEFFICIENT_MANUAL]],PROPERTIES[[#This Row],[TE_COEFFICIENT_CALC]]),3)</f>
        <v>0.28000000000000003</v>
      </c>
      <c r="W324" s="10" cm="1">
        <f t="array" ref="W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4" s="32">
        <v>250</v>
      </c>
      <c r="Y324" s="8">
        <v>8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8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9" t="b">
        <v>0</v>
      </c>
      <c r="AY324"/>
      <c r="AZ324"/>
      <c r="BA324"/>
    </row>
    <row r="325" spans="1:53">
      <c r="A325" s="2" t="s">
        <v>345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t="s">
        <v>1772</v>
      </c>
      <c r="F325" t="str">
        <f>_xlfn.XLOOKUP(PROPERTIES[[#This Row],[COUNTRY]],COUNTRIES[COUNTRY_DESCRIPTION],COUNTRIES[COUNTRY_LABEL],"")</f>
        <v>FR</v>
      </c>
      <c r="G325" t="str" cm="1">
        <f t="array" ref="G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5" t="s">
        <v>320</v>
      </c>
      <c r="I325">
        <v>120</v>
      </c>
      <c r="J325">
        <v>7</v>
      </c>
      <c r="K325">
        <v>7</v>
      </c>
      <c r="L325" t="str" cm="1">
        <f t="array" ref="L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5">
        <f>_xlfn.XLOOKUP("LOADINGSPEEDDEF_"&amp;PROPERTIES[[#This Row],[LOADINGSPEED]],LOADINGSPEEDDEF[TYPE],LOADINGSPEEDDEF[SPEED])</f>
        <v>120</v>
      </c>
      <c r="N325" t="str" cm="1">
        <f t="array" ref="N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5">
        <f>IF(ISNUMBER(SEARCH("passenger",PROPERTIES[[#This Row],[CARGODEF]])),1,0)</f>
        <v>1</v>
      </c>
      <c r="P325" s="29">
        <v>24</v>
      </c>
      <c r="Q325">
        <v>2680</v>
      </c>
      <c r="R325">
        <v>80</v>
      </c>
      <c r="S325" s="26">
        <v>0</v>
      </c>
      <c r="T325" s="25">
        <f>IFERROR(PROPERTIES[[#This Row],[TE_STARTING_KN]]/(PROPERTIES[[#This Row],[WEIGHT]]*9.81),0)</f>
        <v>0</v>
      </c>
      <c r="U325" s="25">
        <v>0.35</v>
      </c>
      <c r="V325" s="22">
        <f>ROUND(IF(IFERROR(PROPERTIES[[#This Row],[TE_COEFFICIENT_CALC]],0)=0,PROPERTIES[[#This Row],[TE_COEFFICIENT_MANUAL]],PROPERTIES[[#This Row],[TE_COEFFICIENT_CALC]]),3)</f>
        <v>0.35</v>
      </c>
      <c r="W325" s="10" cm="1">
        <f t="array" ref="W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5" s="32">
        <v>120</v>
      </c>
      <c r="Y325" s="8">
        <v>7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8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9" t="b">
        <v>0</v>
      </c>
      <c r="AY325"/>
      <c r="AZ325"/>
      <c r="BA325"/>
    </row>
    <row r="326" spans="1:53">
      <c r="A326" s="2" t="s">
        <v>346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t="s">
        <v>1887</v>
      </c>
      <c r="F326" t="str">
        <f>_xlfn.XLOOKUP(PROPERTIES[[#This Row],[COUNTRY]],COUNTRIES[COUNTRY_DESCRIPTION],COUNTRIES[COUNTRY_LABEL],"")</f>
        <v>RU</v>
      </c>
      <c r="G326" t="str" cm="1">
        <f t="array" ref="G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6" t="s">
        <v>320</v>
      </c>
      <c r="I326">
        <v>172</v>
      </c>
      <c r="J326">
        <v>7</v>
      </c>
      <c r="K326">
        <v>7</v>
      </c>
      <c r="L326" t="str" cm="1">
        <f t="array" ref="L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6">
        <f>_xlfn.XLOOKUP("LOADINGSPEEDDEF_"&amp;PROPERTIES[[#This Row],[LOADINGSPEED]],LOADINGSPEEDDEF[TYPE],LOADINGSPEEDDEF[SPEED])</f>
        <v>120</v>
      </c>
      <c r="N326" t="str" cm="1">
        <f t="array" ref="N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6">
        <f>IF(ISNUMBER(SEARCH("passenger",PROPERTIES[[#This Row],[CARGODEF]])),1,0)</f>
        <v>1</v>
      </c>
      <c r="P326" s="29">
        <v>47</v>
      </c>
      <c r="Q326">
        <v>1400</v>
      </c>
      <c r="R326">
        <v>90</v>
      </c>
      <c r="S326" s="26">
        <v>0</v>
      </c>
      <c r="T326" s="25">
        <f>IFERROR(PROPERTIES[[#This Row],[TE_STARTING_KN]]/(PROPERTIES[[#This Row],[WEIGHT]]*9.81),0)</f>
        <v>0</v>
      </c>
      <c r="U326" s="25">
        <v>0.3</v>
      </c>
      <c r="V326" s="22">
        <f>ROUND(IF(IFERROR(PROPERTIES[[#This Row],[TE_COEFFICIENT_CALC]],0)=0,PROPERTIES[[#This Row],[TE_COEFFICIENT_MANUAL]],PROPERTIES[[#This Row],[TE_COEFFICIENT_CALC]]),3)</f>
        <v>0.3</v>
      </c>
      <c r="W326" s="10" cm="1">
        <f t="array" ref="W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6" s="32">
        <v>120</v>
      </c>
      <c r="Y326" s="8">
        <v>6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8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9" t="b">
        <v>0</v>
      </c>
      <c r="AY326"/>
      <c r="AZ326"/>
      <c r="BA326"/>
    </row>
    <row r="327" spans="1:53">
      <c r="A327" s="2" t="s">
        <v>347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t="s">
        <v>1894</v>
      </c>
      <c r="F327" t="str">
        <f>_xlfn.XLOOKUP(PROPERTIES[[#This Row],[COUNTRY]],COUNTRIES[COUNTRY_DESCRIPTION],COUNTRIES[COUNTRY_LABEL],"")</f>
        <v>SG</v>
      </c>
      <c r="G327" t="str" cm="1">
        <f t="array" ref="G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7" t="s">
        <v>320</v>
      </c>
      <c r="I327">
        <v>150</v>
      </c>
      <c r="J327">
        <v>8</v>
      </c>
      <c r="K327">
        <v>8</v>
      </c>
      <c r="L327" t="str" cm="1">
        <f t="array" ref="L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7">
        <f>_xlfn.XLOOKUP("LOADINGSPEEDDEF_"&amp;PROPERTIES[[#This Row],[LOADINGSPEED]],LOADINGSPEEDDEF[TYPE],LOADINGSPEEDDEF[SPEED])</f>
        <v>120</v>
      </c>
      <c r="N327" t="str" cm="1">
        <f t="array" ref="N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7">
        <f>IF(ISNUMBER(SEARCH("passenger",PROPERTIES[[#This Row],[CARGODEF]])),1,0)</f>
        <v>1</v>
      </c>
      <c r="P327" s="29">
        <v>35</v>
      </c>
      <c r="Q327">
        <v>1500</v>
      </c>
      <c r="R327">
        <v>90</v>
      </c>
      <c r="S327" s="26">
        <v>0</v>
      </c>
      <c r="T327" s="25">
        <f>IFERROR(PROPERTIES[[#This Row],[TE_STARTING_KN]]/(PROPERTIES[[#This Row],[WEIGHT]]*9.81),0)</f>
        <v>0</v>
      </c>
      <c r="U327" s="25">
        <v>0.3</v>
      </c>
      <c r="V327" s="22">
        <f>ROUND(IF(IFERROR(PROPERTIES[[#This Row],[TE_COEFFICIENT_CALC]],0)=0,PROPERTIES[[#This Row],[TE_COEFFICIENT_MANUAL]],PROPERTIES[[#This Row],[TE_COEFFICIENT_CALC]]),3)</f>
        <v>0.3</v>
      </c>
      <c r="W327" s="10" cm="1">
        <f t="array" ref="W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7" s="32">
        <v>250</v>
      </c>
      <c r="Y327" s="8">
        <v>8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8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9" t="b">
        <v>0</v>
      </c>
      <c r="AY327"/>
      <c r="AZ327"/>
      <c r="BA327"/>
    </row>
    <row r="328" spans="1:53">
      <c r="A328" s="2" t="s">
        <v>348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t="s">
        <v>1863</v>
      </c>
      <c r="F328" t="str">
        <f>_xlfn.XLOOKUP(PROPERTIES[[#This Row],[COUNTRY]],COUNTRIES[COUNTRY_DESCRIPTION],COUNTRIES[COUNTRY_LABEL],"")</f>
        <v>NO</v>
      </c>
      <c r="G328" t="str" cm="1">
        <f t="array" ref="G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8" t="s">
        <v>320</v>
      </c>
      <c r="I328">
        <v>164</v>
      </c>
      <c r="J328">
        <v>7</v>
      </c>
      <c r="K328">
        <v>7</v>
      </c>
      <c r="L328" t="str" cm="1">
        <f t="array" ref="L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8">
        <f>_xlfn.XLOOKUP("LOADINGSPEEDDEF_"&amp;PROPERTIES[[#This Row],[LOADINGSPEED]],LOADINGSPEEDDEF[TYPE],LOADINGSPEEDDEF[SPEED])</f>
        <v>120</v>
      </c>
      <c r="N328" t="str" cm="1">
        <f t="array" ref="N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8">
        <f>IF(ISNUMBER(SEARCH("passenger",PROPERTIES[[#This Row],[CARGODEF]])),1,0)</f>
        <v>1</v>
      </c>
      <c r="P328" s="29">
        <v>31.3</v>
      </c>
      <c r="Q328">
        <v>1500</v>
      </c>
      <c r="R328">
        <v>80</v>
      </c>
      <c r="S328" s="26">
        <v>0</v>
      </c>
      <c r="T328" s="25">
        <f>IFERROR(PROPERTIES[[#This Row],[TE_STARTING_KN]]/(PROPERTIES[[#This Row],[WEIGHT]]*9.81),0)</f>
        <v>0</v>
      </c>
      <c r="U328" s="25">
        <v>0.32</v>
      </c>
      <c r="V328" s="22">
        <f>ROUND(IF(IFERROR(PROPERTIES[[#This Row],[TE_COEFFICIENT_CALC]],0)=0,PROPERTIES[[#This Row],[TE_COEFFICIENT_MANUAL]],PROPERTIES[[#This Row],[TE_COEFFICIENT_CALC]]),3)</f>
        <v>0.32</v>
      </c>
      <c r="W328" s="10" cm="1">
        <f t="array" ref="W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8" s="32">
        <v>164</v>
      </c>
      <c r="Y328" s="8">
        <v>7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8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9" t="b">
        <v>0</v>
      </c>
      <c r="AY328"/>
      <c r="AZ328"/>
      <c r="BA328"/>
    </row>
    <row r="329" spans="1:53">
      <c r="A329" s="2" t="s">
        <v>349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t="s">
        <v>1810</v>
      </c>
      <c r="F329" t="str">
        <f>_xlfn.XLOOKUP(PROPERTIES[[#This Row],[COUNTRY]],COUNTRIES[COUNTRY_DESCRIPTION],COUNTRIES[COUNTRY_LABEL],"")</f>
        <v>JP</v>
      </c>
      <c r="G329" t="str" cm="1">
        <f t="array" ref="G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9" t="s">
        <v>320</v>
      </c>
      <c r="I329">
        <v>140</v>
      </c>
      <c r="J329">
        <v>8</v>
      </c>
      <c r="K329">
        <v>8</v>
      </c>
      <c r="L329" t="str" cm="1">
        <f t="array" ref="L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9">
        <f>_xlfn.XLOOKUP("LOADINGSPEEDDEF_"&amp;PROPERTIES[[#This Row],[LOADINGSPEED]],LOADINGSPEEDDEF[TYPE],LOADINGSPEEDDEF[SPEED])</f>
        <v>120</v>
      </c>
      <c r="N329" t="str" cm="1">
        <f t="array" ref="N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9">
        <f>IF(ISNUMBER(SEARCH("passenger",PROPERTIES[[#This Row],[CARGODEF]])),1,0)</f>
        <v>1</v>
      </c>
      <c r="P329" s="29">
        <v>31.5</v>
      </c>
      <c r="Q329">
        <v>1820</v>
      </c>
      <c r="R329">
        <v>70</v>
      </c>
      <c r="S329" s="26">
        <v>0</v>
      </c>
      <c r="T329" s="25">
        <f>IFERROR(PROPERTIES[[#This Row],[TE_STARTING_KN]]/(PROPERTIES[[#This Row],[WEIGHT]]*9.81),0)</f>
        <v>0</v>
      </c>
      <c r="U329" s="25">
        <v>0.3</v>
      </c>
      <c r="V329" s="22">
        <f>ROUND(IF(IFERROR(PROPERTIES[[#This Row],[TE_COEFFICIENT_CALC]],0)=0,PROPERTIES[[#This Row],[TE_COEFFICIENT_MANUAL]],PROPERTIES[[#This Row],[TE_COEFFICIENT_CALC]]),3)</f>
        <v>0.3</v>
      </c>
      <c r="W329" s="10" cm="1">
        <f t="array" ref="W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9" s="32">
        <v>140</v>
      </c>
      <c r="Y329" s="8">
        <v>8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8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9" t="b">
        <v>0</v>
      </c>
      <c r="AY329"/>
      <c r="AZ329"/>
      <c r="BA329"/>
    </row>
    <row r="330" spans="1:53">
      <c r="A330" s="2" t="s">
        <v>350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t="s">
        <v>1894</v>
      </c>
      <c r="F330" t="str">
        <f>_xlfn.XLOOKUP(PROPERTIES[[#This Row],[COUNTRY]],COUNTRIES[COUNTRY_DESCRIPTION],COUNTRIES[COUNTRY_LABEL],"")</f>
        <v>SG</v>
      </c>
      <c r="G330" t="str" cm="1">
        <f t="array" ref="G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0" t="s">
        <v>320</v>
      </c>
      <c r="I330">
        <v>162</v>
      </c>
      <c r="J330">
        <v>8</v>
      </c>
      <c r="K330">
        <v>8</v>
      </c>
      <c r="L330" t="str" cm="1">
        <f t="array" ref="L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0">
        <f>_xlfn.XLOOKUP("LOADINGSPEEDDEF_"&amp;PROPERTIES[[#This Row],[LOADINGSPEED]],LOADINGSPEEDDEF[TYPE],LOADINGSPEEDDEF[SPEED])</f>
        <v>120</v>
      </c>
      <c r="N330" t="str" cm="1">
        <f t="array" ref="N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0">
        <f>IF(ISNUMBER(SEARCH("passenger",PROPERTIES[[#This Row],[CARGODEF]])),1,0)</f>
        <v>1</v>
      </c>
      <c r="P330" s="29">
        <v>35</v>
      </c>
      <c r="Q330">
        <v>1580</v>
      </c>
      <c r="R330">
        <v>90</v>
      </c>
      <c r="S330" s="26">
        <v>0</v>
      </c>
      <c r="T330" s="25">
        <f>IFERROR(PROPERTIES[[#This Row],[TE_STARTING_KN]]/(PROPERTIES[[#This Row],[WEIGHT]]*9.81),0)</f>
        <v>0</v>
      </c>
      <c r="U330" s="25">
        <v>0.3</v>
      </c>
      <c r="V330" s="22">
        <f>ROUND(IF(IFERROR(PROPERTIES[[#This Row],[TE_COEFFICIENT_CALC]],0)=0,PROPERTIES[[#This Row],[TE_COEFFICIENT_MANUAL]],PROPERTIES[[#This Row],[TE_COEFFICIENT_CALC]]),3)</f>
        <v>0.3</v>
      </c>
      <c r="W330" s="10" cm="1">
        <f t="array" ref="W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0" s="32">
        <v>250</v>
      </c>
      <c r="Y330" s="8">
        <v>8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8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9" t="b">
        <v>0</v>
      </c>
      <c r="AY330"/>
      <c r="AZ330"/>
      <c r="BA330"/>
    </row>
    <row r="331" spans="1:53">
      <c r="A331" s="2" t="s">
        <v>351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t="s">
        <v>1928</v>
      </c>
      <c r="F331" t="str">
        <f>_xlfn.XLOOKUP(PROPERTIES[[#This Row],[COUNTRY]],COUNTRIES[COUNTRY_DESCRIPTION],COUNTRIES[COUNTRY_LABEL],"")</f>
        <v>US</v>
      </c>
      <c r="G331" t="str" cm="1">
        <f t="array" ref="G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1" t="s">
        <v>320</v>
      </c>
      <c r="I331">
        <v>175</v>
      </c>
      <c r="J331">
        <v>8</v>
      </c>
      <c r="K331">
        <v>8</v>
      </c>
      <c r="L331" t="str" cm="1">
        <f t="array" ref="L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1">
        <f>_xlfn.XLOOKUP("LOADINGSPEEDDEF_"&amp;PROPERTIES[[#This Row],[LOADINGSPEED]],LOADINGSPEEDDEF[TYPE],LOADINGSPEEDDEF[SPEED])</f>
        <v>120</v>
      </c>
      <c r="N331" t="str" cm="1">
        <f t="array" ref="N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1">
        <f>IF(ISNUMBER(SEARCH("passenger",PROPERTIES[[#This Row],[CARGODEF]])),1,0)</f>
        <v>1</v>
      </c>
      <c r="P331" s="29">
        <v>36.5</v>
      </c>
      <c r="Q331">
        <v>1520</v>
      </c>
      <c r="R331">
        <v>90</v>
      </c>
      <c r="S331" s="26">
        <v>0</v>
      </c>
      <c r="T331" s="25">
        <f>IFERROR(PROPERTIES[[#This Row],[TE_STARTING_KN]]/(PROPERTIES[[#This Row],[WEIGHT]]*9.81),0)</f>
        <v>0</v>
      </c>
      <c r="U331" s="25">
        <v>0.3</v>
      </c>
      <c r="V331" s="22">
        <f>ROUND(IF(IFERROR(PROPERTIES[[#This Row],[TE_COEFFICIENT_CALC]],0)=0,PROPERTIES[[#This Row],[TE_COEFFICIENT_MANUAL]],PROPERTIES[[#This Row],[TE_COEFFICIENT_CALC]]),3)</f>
        <v>0.3</v>
      </c>
      <c r="W331" s="10" cm="1">
        <f t="array" ref="W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1" s="32">
        <v>184</v>
      </c>
      <c r="Y331" s="8">
        <v>8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8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9" t="b">
        <v>0</v>
      </c>
      <c r="AY331"/>
      <c r="AZ331"/>
      <c r="BA331"/>
    </row>
    <row r="332" spans="1:53">
      <c r="A332" s="2" t="s">
        <v>352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t="s">
        <v>1785</v>
      </c>
      <c r="F332" t="str">
        <f>_xlfn.XLOOKUP(PROPERTIES[[#This Row],[COUNTRY]],COUNTRIES[COUNTRY_DESCRIPTION],COUNTRIES[COUNTRY_LABEL],"")</f>
        <v>GR</v>
      </c>
      <c r="G332" t="str" cm="1">
        <f t="array" ref="G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2" t="s">
        <v>320</v>
      </c>
      <c r="I332">
        <v>115</v>
      </c>
      <c r="J332">
        <v>6</v>
      </c>
      <c r="K332">
        <v>6</v>
      </c>
      <c r="L332" t="str" cm="1">
        <f t="array" ref="L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2">
        <f>_xlfn.XLOOKUP("LOADINGSPEEDDEF_"&amp;PROPERTIES[[#This Row],[LOADINGSPEED]],LOADINGSPEEDDEF[TYPE],LOADINGSPEEDDEF[SPEED])</f>
        <v>120</v>
      </c>
      <c r="N332" t="str" cm="1">
        <f t="array" ref="N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2">
        <f>IF(ISNUMBER(SEARCH("passenger",PROPERTIES[[#This Row],[CARGODEF]])),1,0)</f>
        <v>1</v>
      </c>
      <c r="P332" s="29">
        <v>27.5</v>
      </c>
      <c r="Q332">
        <v>1360</v>
      </c>
      <c r="R332">
        <v>80</v>
      </c>
      <c r="S332" s="26">
        <v>0</v>
      </c>
      <c r="T332" s="25">
        <f>IFERROR(PROPERTIES[[#This Row],[TE_STARTING_KN]]/(PROPERTIES[[#This Row],[WEIGHT]]*9.81),0)</f>
        <v>0</v>
      </c>
      <c r="U332" s="25">
        <v>0.3</v>
      </c>
      <c r="V332" s="22">
        <f>ROUND(IF(IFERROR(PROPERTIES[[#This Row],[TE_COEFFICIENT_CALC]],0)=0,PROPERTIES[[#This Row],[TE_COEFFICIENT_MANUAL]],PROPERTIES[[#This Row],[TE_COEFFICIENT_CALC]]),3)</f>
        <v>0.3</v>
      </c>
      <c r="W332" s="10" cm="1">
        <f t="array" ref="W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2" s="32">
        <v>110</v>
      </c>
      <c r="Y332" s="8">
        <v>6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8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9" t="b">
        <v>0</v>
      </c>
      <c r="AY332"/>
      <c r="AZ332"/>
      <c r="BA332"/>
    </row>
    <row r="333" spans="1:53">
      <c r="A333" s="2" t="s">
        <v>353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t="s">
        <v>1754</v>
      </c>
      <c r="F333" t="str">
        <f>_xlfn.XLOOKUP(PROPERTIES[[#This Row],[COUNTRY]],COUNTRIES[COUNTRY_DESCRIPTION],COUNTRIES[COUNTRY_LABEL],"")</f>
        <v>DE</v>
      </c>
      <c r="G333" t="str" cm="1">
        <f t="array" ref="G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3" t="s">
        <v>320</v>
      </c>
      <c r="I333">
        <v>85</v>
      </c>
      <c r="J333">
        <v>5</v>
      </c>
      <c r="K333">
        <v>5</v>
      </c>
      <c r="L333" t="str" cm="1">
        <f t="array" ref="L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3">
        <f>_xlfn.XLOOKUP("LOADINGSPEEDDEF_"&amp;PROPERTIES[[#This Row],[LOADINGSPEED]],LOADINGSPEEDDEF[TYPE],LOADINGSPEEDDEF[SPEED])</f>
        <v>120</v>
      </c>
      <c r="N333" cm="1">
        <f t="array" ref="N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3">
        <f>IF(ISNUMBER(SEARCH("passenger",PROPERTIES[[#This Row],[CARGODEF]])),1,0)</f>
        <v>1</v>
      </c>
      <c r="P333" s="29">
        <v>18.5</v>
      </c>
      <c r="Q333">
        <v>320</v>
      </c>
      <c r="R333">
        <v>50</v>
      </c>
      <c r="S333" s="26">
        <v>0</v>
      </c>
      <c r="T333" s="25">
        <f>IFERROR(PROPERTIES[[#This Row],[TE_STARTING_KN]]/(PROPERTIES[[#This Row],[WEIGHT]]*9.81),0)</f>
        <v>0</v>
      </c>
      <c r="U333" s="25">
        <v>0.18</v>
      </c>
      <c r="V333" s="22">
        <f>ROUND(IF(IFERROR(PROPERTIES[[#This Row],[TE_COEFFICIENT_CALC]],0)=0,PROPERTIES[[#This Row],[TE_COEFFICIENT_MANUAL]],PROPERTIES[[#This Row],[TE_COEFFICIENT_CALC]]),3)</f>
        <v>0.18</v>
      </c>
      <c r="W333" s="10" cm="1">
        <f t="array" ref="W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3" s="32">
        <v>88</v>
      </c>
      <c r="Y333" s="8">
        <v>5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8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9" t="b">
        <v>0</v>
      </c>
      <c r="AY333"/>
      <c r="AZ333"/>
      <c r="BA333"/>
    </row>
    <row r="334" spans="1:53">
      <c r="A334" s="2" t="s">
        <v>354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t="s">
        <v>1928</v>
      </c>
      <c r="F334" t="str">
        <f>_xlfn.XLOOKUP(PROPERTIES[[#This Row],[COUNTRY]],COUNTRIES[COUNTRY_DESCRIPTION],COUNTRIES[COUNTRY_LABEL],"")</f>
        <v>US</v>
      </c>
      <c r="G334" t="str" cm="1">
        <f t="array" ref="G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4" t="s">
        <v>320</v>
      </c>
      <c r="I334">
        <v>100</v>
      </c>
      <c r="J334">
        <v>8</v>
      </c>
      <c r="K334">
        <v>8</v>
      </c>
      <c r="L334" t="str" cm="1">
        <f t="array" ref="L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4">
        <f>_xlfn.XLOOKUP("LOADINGSPEEDDEF_"&amp;PROPERTIES[[#This Row],[LOADINGSPEED]],LOADINGSPEEDDEF[TYPE],LOADINGSPEEDDEF[SPEED])</f>
        <v>120</v>
      </c>
      <c r="N334" cm="1">
        <f t="array" ref="N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4">
        <f>IF(ISNUMBER(SEARCH("passenger",PROPERTIES[[#This Row],[CARGODEF]])),1,0)</f>
        <v>1</v>
      </c>
      <c r="P334" s="29">
        <v>38.5</v>
      </c>
      <c r="Q334">
        <v>400</v>
      </c>
      <c r="R334">
        <v>72</v>
      </c>
      <c r="S334" s="26">
        <v>0</v>
      </c>
      <c r="T334" s="25">
        <f>IFERROR(PROPERTIES[[#This Row],[TE_STARTING_KN]]/(PROPERTIES[[#This Row],[WEIGHT]]*9.81),0)</f>
        <v>0</v>
      </c>
      <c r="U334" s="25">
        <v>0.18</v>
      </c>
      <c r="V334" s="22">
        <f>ROUND(IF(IFERROR(PROPERTIES[[#This Row],[TE_COEFFICIENT_CALC]],0)=0,PROPERTIES[[#This Row],[TE_COEFFICIENT_MANUAL]],PROPERTIES[[#This Row],[TE_COEFFICIENT_CALC]]),3)</f>
        <v>0.18</v>
      </c>
      <c r="W334" s="10" cm="1">
        <f t="array" ref="W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4" s="32">
        <v>128</v>
      </c>
      <c r="Y334" s="8">
        <v>8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8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9" t="b">
        <v>0</v>
      </c>
      <c r="AY334"/>
      <c r="AZ334"/>
      <c r="BA334"/>
    </row>
    <row r="335" spans="1:53">
      <c r="A335" s="2" t="s">
        <v>355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t="s">
        <v>1810</v>
      </c>
      <c r="F335" t="str">
        <f>_xlfn.XLOOKUP(PROPERTIES[[#This Row],[COUNTRY]],COUNTRIES[COUNTRY_DESCRIPTION],COUNTRIES[COUNTRY_LABEL],"")</f>
        <v>JP</v>
      </c>
      <c r="G335" t="str" cm="1">
        <f t="array" ref="G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5" t="s">
        <v>320</v>
      </c>
      <c r="I335">
        <v>120</v>
      </c>
      <c r="J335">
        <v>7</v>
      </c>
      <c r="K335">
        <v>7</v>
      </c>
      <c r="L335" t="str" cm="1">
        <f t="array" ref="L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5">
        <f>_xlfn.XLOOKUP("LOADINGSPEEDDEF_"&amp;PROPERTIES[[#This Row],[LOADINGSPEED]],LOADINGSPEEDDEF[TYPE],LOADINGSPEEDDEF[SPEED])</f>
        <v>120</v>
      </c>
      <c r="N335" cm="1">
        <f t="array" ref="N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5">
        <f>IF(ISNUMBER(SEARCH("passenger",PROPERTIES[[#This Row],[CARGODEF]])),1,0)</f>
        <v>1</v>
      </c>
      <c r="P335" s="29">
        <v>40</v>
      </c>
      <c r="Q335">
        <v>615</v>
      </c>
      <c r="R335">
        <v>65</v>
      </c>
      <c r="S335" s="26">
        <v>0</v>
      </c>
      <c r="T335" s="25">
        <f>IFERROR(PROPERTIES[[#This Row],[TE_STARTING_KN]]/(PROPERTIES[[#This Row],[WEIGHT]]*9.81),0)</f>
        <v>0</v>
      </c>
      <c r="U335" s="25">
        <v>0.2</v>
      </c>
      <c r="V335" s="22">
        <f>ROUND(IF(IFERROR(PROPERTIES[[#This Row],[TE_COEFFICIENT_CALC]],0)=0,PROPERTIES[[#This Row],[TE_COEFFICIENT_MANUAL]],PROPERTIES[[#This Row],[TE_COEFFICIENT_CALC]]),3)</f>
        <v>0.2</v>
      </c>
      <c r="W335" s="10" cm="1">
        <f t="array" ref="W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5" s="32">
        <v>145</v>
      </c>
      <c r="Y335" s="8">
        <v>7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8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9" t="b">
        <v>0</v>
      </c>
      <c r="AY335"/>
      <c r="AZ335"/>
      <c r="BA335"/>
    </row>
    <row r="336" spans="1:53">
      <c r="A336" s="2" t="s">
        <v>356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t="s">
        <v>1887</v>
      </c>
      <c r="F336" t="str">
        <f>_xlfn.XLOOKUP(PROPERTIES[[#This Row],[COUNTRY]],COUNTRIES[COUNTRY_DESCRIPTION],COUNTRIES[COUNTRY_LABEL],"")</f>
        <v>RU</v>
      </c>
      <c r="G336" t="str" cm="1">
        <f t="array" ref="G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6" t="s">
        <v>320</v>
      </c>
      <c r="I336">
        <v>135</v>
      </c>
      <c r="J336">
        <v>7</v>
      </c>
      <c r="K336">
        <v>7</v>
      </c>
      <c r="L336" t="str" cm="1">
        <f t="array" ref="L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6">
        <f>_xlfn.XLOOKUP("LOADINGSPEEDDEF_"&amp;PROPERTIES[[#This Row],[LOADINGSPEED]],LOADINGSPEEDDEF[TYPE],LOADINGSPEEDDEF[SPEED])</f>
        <v>120</v>
      </c>
      <c r="N336" cm="1">
        <f t="array" ref="N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6">
        <f>IF(ISNUMBER(SEARCH("passenger",PROPERTIES[[#This Row],[CARGODEF]])),1,0)</f>
        <v>1</v>
      </c>
      <c r="P336" s="29">
        <v>41</v>
      </c>
      <c r="Q336">
        <v>535</v>
      </c>
      <c r="R336">
        <v>65</v>
      </c>
      <c r="S336" s="26">
        <v>0</v>
      </c>
      <c r="T336" s="25">
        <f>IFERROR(PROPERTIES[[#This Row],[TE_STARTING_KN]]/(PROPERTIES[[#This Row],[WEIGHT]]*9.81),0)</f>
        <v>0</v>
      </c>
      <c r="U336" s="25">
        <v>0.19</v>
      </c>
      <c r="V336" s="22">
        <f>ROUND(IF(IFERROR(PROPERTIES[[#This Row],[TE_COEFFICIENT_CALC]],0)=0,PROPERTIES[[#This Row],[TE_COEFFICIENT_MANUAL]],PROPERTIES[[#This Row],[TE_COEFFICIENT_CALC]]),3)</f>
        <v>0.19</v>
      </c>
      <c r="W336" s="10" cm="1">
        <f t="array" ref="W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6" s="32">
        <v>131</v>
      </c>
      <c r="Y336" s="8">
        <v>7</v>
      </c>
      <c r="Z336" t="s">
        <v>3514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8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9" t="b">
        <v>0</v>
      </c>
      <c r="AY336"/>
      <c r="AZ336"/>
      <c r="BA336"/>
    </row>
    <row r="337" spans="1:53">
      <c r="A337" s="2" t="s">
        <v>357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t="s">
        <v>1928</v>
      </c>
      <c r="F337" t="str">
        <f>_xlfn.XLOOKUP(PROPERTIES[[#This Row],[COUNTRY]],COUNTRIES[COUNTRY_DESCRIPTION],COUNTRIES[COUNTRY_LABEL],"")</f>
        <v>US</v>
      </c>
      <c r="G337" t="str" cm="1">
        <f t="array" ref="G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7" t="s">
        <v>320</v>
      </c>
      <c r="I337">
        <v>145</v>
      </c>
      <c r="J337">
        <v>8</v>
      </c>
      <c r="K337">
        <v>8</v>
      </c>
      <c r="L337" t="str" cm="1">
        <f t="array" ref="L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7">
        <f>_xlfn.XLOOKUP("LOADINGSPEEDDEF_"&amp;PROPERTIES[[#This Row],[LOADINGSPEED]],LOADINGSPEEDDEF[TYPE],LOADINGSPEEDDEF[SPEED])</f>
        <v>120</v>
      </c>
      <c r="N337" cm="1">
        <f t="array" ref="N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7">
        <f>IF(ISNUMBER(SEARCH("passenger",PROPERTIES[[#This Row],[CARGODEF]])),1,0)</f>
        <v>1</v>
      </c>
      <c r="P337" s="29">
        <v>36.5</v>
      </c>
      <c r="Q337">
        <v>800</v>
      </c>
      <c r="R337">
        <v>88</v>
      </c>
      <c r="S337" s="26">
        <v>0</v>
      </c>
      <c r="T337" s="25">
        <f>IFERROR(PROPERTIES[[#This Row],[TE_STARTING_KN]]/(PROPERTIES[[#This Row],[WEIGHT]]*9.81),0)</f>
        <v>0</v>
      </c>
      <c r="U337" s="25">
        <v>0.21</v>
      </c>
      <c r="V337" s="22">
        <f>ROUND(IF(IFERROR(PROPERTIES[[#This Row],[TE_COEFFICIENT_CALC]],0)=0,PROPERTIES[[#This Row],[TE_COEFFICIENT_MANUAL]],PROPERTIES[[#This Row],[TE_COEFFICIENT_CALC]]),3)</f>
        <v>0.21</v>
      </c>
      <c r="W337" s="10" cm="1">
        <f t="array" ref="W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7" s="32">
        <v>160</v>
      </c>
      <c r="Y337" s="8">
        <v>8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8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9" t="b">
        <v>0</v>
      </c>
      <c r="AY337"/>
      <c r="AZ337"/>
      <c r="BA337"/>
    </row>
    <row r="338" spans="1:53">
      <c r="A338" s="2" t="s">
        <v>358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t="s">
        <v>1806</v>
      </c>
      <c r="F338" t="str">
        <f>_xlfn.XLOOKUP(PROPERTIES[[#This Row],[COUNTRY]],COUNTRIES[COUNTRY_DESCRIPTION],COUNTRIES[COUNTRY_LABEL],"")</f>
        <v>IT</v>
      </c>
      <c r="G338" t="str" cm="1">
        <f t="array" ref="G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8" t="s">
        <v>320</v>
      </c>
      <c r="I338">
        <v>140</v>
      </c>
      <c r="J338">
        <v>7</v>
      </c>
      <c r="K338">
        <v>7</v>
      </c>
      <c r="L338" t="str" cm="1">
        <f t="array" ref="L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8">
        <f>_xlfn.XLOOKUP("LOADINGSPEEDDEF_"&amp;PROPERTIES[[#This Row],[LOADINGSPEED]],LOADINGSPEEDDEF[TYPE],LOADINGSPEEDDEF[SPEED])</f>
        <v>120</v>
      </c>
      <c r="N338" cm="1">
        <f t="array" ref="N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8">
        <f>IF(ISNUMBER(SEARCH("passenger",PROPERTIES[[#This Row],[CARGODEF]])),1,0)</f>
        <v>1</v>
      </c>
      <c r="P338" s="29">
        <v>40</v>
      </c>
      <c r="Q338">
        <v>830</v>
      </c>
      <c r="R338">
        <v>100</v>
      </c>
      <c r="S338" s="26">
        <v>0</v>
      </c>
      <c r="T338" s="25">
        <f>IFERROR(PROPERTIES[[#This Row],[TE_STARTING_KN]]/(PROPERTIES[[#This Row],[WEIGHT]]*9.81),0)</f>
        <v>0</v>
      </c>
      <c r="U338" s="25">
        <v>0.21</v>
      </c>
      <c r="V338" s="22">
        <f>ROUND(IF(IFERROR(PROPERTIES[[#This Row],[TE_COEFFICIENT_CALC]],0)=0,PROPERTIES[[#This Row],[TE_COEFFICIENT_MANUAL]],PROPERTIES[[#This Row],[TE_COEFFICIENT_CALC]]),3)</f>
        <v>0.21</v>
      </c>
      <c r="W338" s="10" cm="1">
        <f t="array" ref="W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338" s="32">
        <v>156</v>
      </c>
      <c r="Y338" s="8">
        <v>7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8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9" t="b">
        <v>0</v>
      </c>
      <c r="AY338"/>
      <c r="AZ338"/>
      <c r="BA338"/>
    </row>
    <row r="339" spans="1:53">
      <c r="A339" s="2" t="s">
        <v>359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t="s">
        <v>1887</v>
      </c>
      <c r="F339" t="str">
        <f>_xlfn.XLOOKUP(PROPERTIES[[#This Row],[COUNTRY]],COUNTRIES[COUNTRY_DESCRIPTION],COUNTRIES[COUNTRY_LABEL],"")</f>
        <v>RU</v>
      </c>
      <c r="G339" t="str" cm="1">
        <f t="array" ref="G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9" t="s">
        <v>320</v>
      </c>
      <c r="I339">
        <v>140</v>
      </c>
      <c r="J339">
        <v>8</v>
      </c>
      <c r="K339">
        <v>8</v>
      </c>
      <c r="L339" t="str" cm="1">
        <f t="array" ref="L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9">
        <f>_xlfn.XLOOKUP("LOADINGSPEEDDEF_"&amp;PROPERTIES[[#This Row],[LOADINGSPEED]],LOADINGSPEEDDEF[TYPE],LOADINGSPEEDDEF[SPEED])</f>
        <v>120</v>
      </c>
      <c r="N339" cm="1">
        <f t="array" ref="N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9">
        <f>IF(ISNUMBER(SEARCH("passenger",PROPERTIES[[#This Row],[CARGODEF]])),1,0)</f>
        <v>1</v>
      </c>
      <c r="P339" s="29">
        <v>36.200000000000003</v>
      </c>
      <c r="Q339">
        <v>760</v>
      </c>
      <c r="R339">
        <v>75</v>
      </c>
      <c r="S339" s="26">
        <v>0</v>
      </c>
      <c r="T339" s="25">
        <f>IFERROR(PROPERTIES[[#This Row],[TE_STARTING_KN]]/(PROPERTIES[[#This Row],[WEIGHT]]*9.81),0)</f>
        <v>0</v>
      </c>
      <c r="U339" s="25">
        <v>0.21</v>
      </c>
      <c r="V339" s="22">
        <f>ROUND(IF(IFERROR(PROPERTIES[[#This Row],[TE_COEFFICIENT_CALC]],0)=0,PROPERTIES[[#This Row],[TE_COEFFICIENT_MANUAL]],PROPERTIES[[#This Row],[TE_COEFFICIENT_CALC]]),3)</f>
        <v>0.21</v>
      </c>
      <c r="W339" s="10" cm="1">
        <f t="array" ref="W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9" s="32">
        <v>132</v>
      </c>
      <c r="Y339" s="8">
        <v>8</v>
      </c>
      <c r="Z339" t="s">
        <v>3514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8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9" t="b">
        <v>0</v>
      </c>
      <c r="AY339"/>
      <c r="AZ339"/>
      <c r="BA339"/>
    </row>
    <row r="340" spans="1:53">
      <c r="A340" s="2" t="s">
        <v>360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t="s">
        <v>1862</v>
      </c>
      <c r="F340" t="str">
        <f>_xlfn.XLOOKUP(PROPERTIES[[#This Row],[COUNTRY]],COUNTRIES[COUNTRY_DESCRIPTION],COUNTRIES[COUNTRY_LABEL],"")</f>
        <v>NL</v>
      </c>
      <c r="G340" t="str" cm="1">
        <f t="array" ref="G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0" t="s">
        <v>320</v>
      </c>
      <c r="I340">
        <v>140</v>
      </c>
      <c r="J340">
        <v>7</v>
      </c>
      <c r="K340">
        <v>7</v>
      </c>
      <c r="L340" t="str" cm="1">
        <f t="array" ref="L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0">
        <f>_xlfn.XLOOKUP("LOADINGSPEEDDEF_"&amp;PROPERTIES[[#This Row],[LOADINGSPEED]],LOADINGSPEEDDEF[TYPE],LOADINGSPEEDDEF[SPEED])</f>
        <v>120</v>
      </c>
      <c r="N340" cm="1">
        <f t="array" ref="N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0">
        <f>IF(ISNUMBER(SEARCH("passenger",PROPERTIES[[#This Row],[CARGODEF]])),1,0)</f>
        <v>1</v>
      </c>
      <c r="P340" s="29">
        <v>25</v>
      </c>
      <c r="Q340">
        <v>630</v>
      </c>
      <c r="R340">
        <v>80</v>
      </c>
      <c r="S340" s="26">
        <v>0</v>
      </c>
      <c r="T340" s="25">
        <f>IFERROR(PROPERTIES[[#This Row],[TE_STARTING_KN]]/(PROPERTIES[[#This Row],[WEIGHT]]*9.81),0)</f>
        <v>0</v>
      </c>
      <c r="U340" s="25">
        <v>0.23</v>
      </c>
      <c r="V340" s="22">
        <f>ROUND(IF(IFERROR(PROPERTIES[[#This Row],[TE_COEFFICIENT_CALC]],0)=0,PROPERTIES[[#This Row],[TE_COEFFICIENT_MANUAL]],PROPERTIES[[#This Row],[TE_COEFFICIENT_CALC]]),3)</f>
        <v>0.23</v>
      </c>
      <c r="W340" s="10" cm="1">
        <f t="array" ref="W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0" s="32">
        <v>235</v>
      </c>
      <c r="Y340" s="8">
        <v>7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8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9" t="b">
        <v>0</v>
      </c>
      <c r="AY340"/>
      <c r="AZ340"/>
      <c r="BA340"/>
    </row>
    <row r="341" spans="1:53">
      <c r="A341" s="2" t="s">
        <v>361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t="s">
        <v>1753</v>
      </c>
      <c r="F341" t="str">
        <f>_xlfn.XLOOKUP(PROPERTIES[[#This Row],[COUNTRY]],COUNTRIES[COUNTRY_DESCRIPTION],COUNTRIES[COUNTRY_LABEL],"")</f>
        <v>CZ</v>
      </c>
      <c r="G341" t="str" cm="1">
        <f t="array" ref="G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1" t="s">
        <v>320</v>
      </c>
      <c r="I341">
        <v>131</v>
      </c>
      <c r="J341">
        <v>8</v>
      </c>
      <c r="K341">
        <v>8</v>
      </c>
      <c r="L341" t="str" cm="1">
        <f t="array" ref="L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1">
        <f>_xlfn.XLOOKUP("LOADINGSPEEDDEF_"&amp;PROPERTIES[[#This Row],[LOADINGSPEED]],LOADINGSPEEDDEF[TYPE],LOADINGSPEEDDEF[SPEED])</f>
        <v>120</v>
      </c>
      <c r="N341" cm="1">
        <f t="array" ref="N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1">
        <f>IF(ISNUMBER(SEARCH("passenger",PROPERTIES[[#This Row],[CARGODEF]])),1,0)</f>
        <v>1</v>
      </c>
      <c r="P341" s="29">
        <v>32.5</v>
      </c>
      <c r="Q341">
        <v>910</v>
      </c>
      <c r="R341">
        <v>80</v>
      </c>
      <c r="S341" s="26">
        <v>0</v>
      </c>
      <c r="T341" s="25">
        <f>IFERROR(PROPERTIES[[#This Row],[TE_STARTING_KN]]/(PROPERTIES[[#This Row],[WEIGHT]]*9.81),0)</f>
        <v>0</v>
      </c>
      <c r="U341" s="25">
        <v>0.25</v>
      </c>
      <c r="V341" s="22">
        <f>ROUND(IF(IFERROR(PROPERTIES[[#This Row],[TE_COEFFICIENT_CALC]],0)=0,PROPERTIES[[#This Row],[TE_COEFFICIENT_MANUAL]],PROPERTIES[[#This Row],[TE_COEFFICIENT_CALC]]),3)</f>
        <v>0.25</v>
      </c>
      <c r="W341" s="10" cm="1">
        <f t="array" ref="W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1" s="32">
        <v>150</v>
      </c>
      <c r="Y341" s="8">
        <v>8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8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9" t="b">
        <v>0</v>
      </c>
      <c r="AY341"/>
      <c r="AZ341"/>
      <c r="BA341"/>
    </row>
    <row r="342" spans="1:53">
      <c r="A342" s="2" t="s">
        <v>362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t="s">
        <v>1707</v>
      </c>
      <c r="F342" t="str">
        <f>_xlfn.XLOOKUP(PROPERTIES[[#This Row],[COUNTRY]],COUNTRIES[COUNTRY_DESCRIPTION],COUNTRIES[COUNTRY_LABEL],"")</f>
        <v>AR</v>
      </c>
      <c r="G342" t="str" cm="1">
        <f t="array" ref="G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2" t="s">
        <v>320</v>
      </c>
      <c r="I342">
        <v>115</v>
      </c>
      <c r="J342">
        <v>7</v>
      </c>
      <c r="K342">
        <v>7</v>
      </c>
      <c r="L342" t="str" cm="1">
        <f t="array" ref="L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2">
        <f>_xlfn.XLOOKUP("LOADINGSPEEDDEF_"&amp;PROPERTIES[[#This Row],[LOADINGSPEED]],LOADINGSPEEDDEF[TYPE],LOADINGSPEEDDEF[SPEED])</f>
        <v>120</v>
      </c>
      <c r="N342" t="str" cm="1">
        <f t="array" ref="N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2">
        <f>IF(ISNUMBER(SEARCH("passenger",PROPERTIES[[#This Row],[CARGODEF]])),1,0)</f>
        <v>1</v>
      </c>
      <c r="P342" s="29">
        <v>23.5</v>
      </c>
      <c r="Q342">
        <v>640</v>
      </c>
      <c r="R342">
        <v>75</v>
      </c>
      <c r="S342" s="26">
        <v>0</v>
      </c>
      <c r="T342" s="25">
        <f>IFERROR(PROPERTIES[[#This Row],[TE_STARTING_KN]]/(PROPERTIES[[#This Row],[WEIGHT]]*9.81),0)</f>
        <v>0</v>
      </c>
      <c r="U342" s="25">
        <v>0.23</v>
      </c>
      <c r="V342" s="22">
        <f>ROUND(IF(IFERROR(PROPERTIES[[#This Row],[TE_COEFFICIENT_CALC]],0)=0,PROPERTIES[[#This Row],[TE_COEFFICIENT_MANUAL]],PROPERTIES[[#This Row],[TE_COEFFICIENT_CALC]]),3)</f>
        <v>0.23</v>
      </c>
      <c r="W342" s="10" cm="1">
        <f t="array" ref="W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2" s="32">
        <v>162</v>
      </c>
      <c r="Y342" s="8">
        <v>7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8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9" t="b">
        <v>0</v>
      </c>
      <c r="AY342"/>
      <c r="AZ342"/>
      <c r="BA342"/>
    </row>
    <row r="343" spans="1:53">
      <c r="A343" s="2" t="s">
        <v>363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t="s">
        <v>1743</v>
      </c>
      <c r="F343" t="str">
        <f>_xlfn.XLOOKUP(PROPERTIES[[#This Row],[COUNTRY]],COUNTRIES[COUNTRY_DESCRIPTION],COUNTRIES[COUNTRY_LABEL],"")</f>
        <v>CL</v>
      </c>
      <c r="G343" t="str" cm="1">
        <f t="array" ref="G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3" t="s">
        <v>320</v>
      </c>
      <c r="I343">
        <v>160</v>
      </c>
      <c r="J343">
        <v>7</v>
      </c>
      <c r="K343">
        <v>7</v>
      </c>
      <c r="L343" t="str" cm="1">
        <f t="array" ref="L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3">
        <f>_xlfn.XLOOKUP("LOADINGSPEEDDEF_"&amp;PROPERTIES[[#This Row],[LOADINGSPEED]],LOADINGSPEEDDEF[TYPE],LOADINGSPEEDDEF[SPEED])</f>
        <v>120</v>
      </c>
      <c r="N343" t="str" cm="1">
        <f t="array" ref="N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3">
        <f>IF(ISNUMBER(SEARCH("passenger",PROPERTIES[[#This Row],[CARGODEF]])),1,0)</f>
        <v>1</v>
      </c>
      <c r="P343" s="29">
        <v>24.5</v>
      </c>
      <c r="Q343">
        <v>2400</v>
      </c>
      <c r="R343">
        <v>100</v>
      </c>
      <c r="S343" s="26">
        <v>0</v>
      </c>
      <c r="T343" s="25">
        <f>IFERROR(PROPERTIES[[#This Row],[TE_STARTING_KN]]/(PROPERTIES[[#This Row],[WEIGHT]]*9.81),0)</f>
        <v>0</v>
      </c>
      <c r="U343" s="25">
        <v>0.35</v>
      </c>
      <c r="V343" s="22">
        <f>ROUND(IF(IFERROR(PROPERTIES[[#This Row],[TE_COEFFICIENT_CALC]],0)=0,PROPERTIES[[#This Row],[TE_COEFFICIENT_MANUAL]],PROPERTIES[[#This Row],[TE_COEFFICIENT_CALC]]),3)</f>
        <v>0.35</v>
      </c>
      <c r="W343" s="10" cm="1">
        <f t="array" ref="W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3" s="32">
        <v>116</v>
      </c>
      <c r="Y343" s="8">
        <v>7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8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9" t="b">
        <v>0</v>
      </c>
      <c r="AY343"/>
      <c r="AZ343"/>
      <c r="BA343"/>
    </row>
    <row r="344" spans="1:53">
      <c r="A344" s="2" t="s">
        <v>364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t="s">
        <v>1743</v>
      </c>
      <c r="F344" t="str">
        <f>_xlfn.XLOOKUP(PROPERTIES[[#This Row],[COUNTRY]],COUNTRIES[COUNTRY_DESCRIPTION],COUNTRIES[COUNTRY_LABEL],"")</f>
        <v>CL</v>
      </c>
      <c r="G344" t="str" cm="1">
        <f t="array" ref="G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4" t="s">
        <v>320</v>
      </c>
      <c r="I344">
        <v>175</v>
      </c>
      <c r="J344">
        <v>8</v>
      </c>
      <c r="K344">
        <v>8</v>
      </c>
      <c r="L344" t="str" cm="1">
        <f t="array" ref="L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4">
        <f>_xlfn.XLOOKUP("LOADINGSPEEDDEF_"&amp;PROPERTIES[[#This Row],[LOADINGSPEED]],LOADINGSPEEDDEF[TYPE],LOADINGSPEEDDEF[SPEED])</f>
        <v>120</v>
      </c>
      <c r="N344" t="str" cm="1">
        <f t="array" ref="N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4">
        <f>IF(ISNUMBER(SEARCH("passenger",PROPERTIES[[#This Row],[CARGODEF]])),1,0)</f>
        <v>1</v>
      </c>
      <c r="P344" s="29">
        <v>32</v>
      </c>
      <c r="Q344">
        <v>1550</v>
      </c>
      <c r="R344">
        <v>100</v>
      </c>
      <c r="S344" s="26">
        <v>0</v>
      </c>
      <c r="T344" s="25">
        <f>IFERROR(PROPERTIES[[#This Row],[TE_STARTING_KN]]/(PROPERTIES[[#This Row],[WEIGHT]]*9.81),0)</f>
        <v>0</v>
      </c>
      <c r="U344" s="25">
        <v>0.28000000000000003</v>
      </c>
      <c r="V344" s="22">
        <f>ROUND(IF(IFERROR(PROPERTIES[[#This Row],[TE_COEFFICIENT_CALC]],0)=0,PROPERTIES[[#This Row],[TE_COEFFICIENT_MANUAL]],PROPERTIES[[#This Row],[TE_COEFFICIENT_CALC]]),3)</f>
        <v>0.28000000000000003</v>
      </c>
      <c r="W344" s="10" cm="1">
        <f t="array" ref="W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4" s="32">
        <v>196</v>
      </c>
      <c r="Y344" s="8">
        <v>8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8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9" t="b">
        <v>0</v>
      </c>
      <c r="AY344"/>
      <c r="AZ344"/>
      <c r="BA344"/>
    </row>
    <row r="345" spans="1:53">
      <c r="A345" s="2" t="s">
        <v>365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t="s">
        <v>1728</v>
      </c>
      <c r="F345" t="str">
        <f>_xlfn.XLOOKUP(PROPERTIES[[#This Row],[COUNTRY]],COUNTRIES[COUNTRY_DESCRIPTION],COUNTRIES[COUNTRY_LABEL],"")</f>
        <v>BR</v>
      </c>
      <c r="G345" t="str" cm="1">
        <f t="array" ref="G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5" t="s">
        <v>320</v>
      </c>
      <c r="I345">
        <v>150</v>
      </c>
      <c r="J345">
        <v>8</v>
      </c>
      <c r="K345">
        <v>8</v>
      </c>
      <c r="L345" t="str" cm="1">
        <f t="array" ref="L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5">
        <f>_xlfn.XLOOKUP("LOADINGSPEEDDEF_"&amp;PROPERTIES[[#This Row],[LOADINGSPEED]],LOADINGSPEEDDEF[TYPE],LOADINGSPEEDDEF[SPEED])</f>
        <v>120</v>
      </c>
      <c r="N345" t="str" cm="1">
        <f t="array" ref="N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5">
        <f>IF(ISNUMBER(SEARCH("passenger",PROPERTIES[[#This Row],[CARGODEF]])),1,0)</f>
        <v>1</v>
      </c>
      <c r="P345" s="29">
        <v>28</v>
      </c>
      <c r="Q345">
        <v>1000</v>
      </c>
      <c r="R345">
        <v>80</v>
      </c>
      <c r="S345" s="26">
        <v>0</v>
      </c>
      <c r="T345" s="25">
        <f>IFERROR(PROPERTIES[[#This Row],[TE_STARTING_KN]]/(PROPERTIES[[#This Row],[WEIGHT]]*9.81),0)</f>
        <v>0</v>
      </c>
      <c r="U345" s="25">
        <v>0.24</v>
      </c>
      <c r="V345" s="22">
        <f>ROUND(IF(IFERROR(PROPERTIES[[#This Row],[TE_COEFFICIENT_CALC]],0)=0,PROPERTIES[[#This Row],[TE_COEFFICIENT_MANUAL]],PROPERTIES[[#This Row],[TE_COEFFICIENT_CALC]]),3)</f>
        <v>0.24</v>
      </c>
      <c r="W345" s="10" cm="1">
        <f t="array" ref="W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5" s="32">
        <v>182</v>
      </c>
      <c r="Y345" s="8">
        <v>8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8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9" t="b">
        <v>0</v>
      </c>
      <c r="AY345"/>
      <c r="AZ345"/>
      <c r="BA345"/>
    </row>
    <row r="346" spans="1:53">
      <c r="A346" s="2" t="s">
        <v>366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t="s">
        <v>1765</v>
      </c>
      <c r="F346" t="str">
        <f>_xlfn.XLOOKUP(PROPERTIES[[#This Row],[COUNTRY]],COUNTRIES[COUNTRY_DESCRIPTION],COUNTRIES[COUNTRY_LABEL],"")</f>
        <v>ES</v>
      </c>
      <c r="G346" t="str" cm="1">
        <f t="array" ref="G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6" t="s">
        <v>320</v>
      </c>
      <c r="I346">
        <v>160</v>
      </c>
      <c r="J346">
        <v>8</v>
      </c>
      <c r="K346">
        <v>8</v>
      </c>
      <c r="L346" t="str" cm="1">
        <f t="array" ref="L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6">
        <f>_xlfn.XLOOKUP("LOADINGSPEEDDEF_"&amp;PROPERTIES[[#This Row],[LOADINGSPEED]],LOADINGSPEEDDEF[TYPE],LOADINGSPEEDDEF[SPEED])</f>
        <v>120</v>
      </c>
      <c r="N346" cm="1">
        <f t="array" ref="N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6">
        <f>IF(ISNUMBER(SEARCH("passenger",PROPERTIES[[#This Row],[CARGODEF]])),1,0)</f>
        <v>1</v>
      </c>
      <c r="P346" s="29">
        <v>32</v>
      </c>
      <c r="Q346">
        <v>1100</v>
      </c>
      <c r="R346">
        <v>80</v>
      </c>
      <c r="S346" s="26">
        <v>0</v>
      </c>
      <c r="T346" s="25">
        <f>IFERROR(PROPERTIES[[#This Row],[TE_STARTING_KN]]/(PROPERTIES[[#This Row],[WEIGHT]]*9.81),0)</f>
        <v>0</v>
      </c>
      <c r="U346" s="25">
        <v>0.24</v>
      </c>
      <c r="V346" s="22">
        <f>ROUND(IF(IFERROR(PROPERTIES[[#This Row],[TE_COEFFICIENT_CALC]],0)=0,PROPERTIES[[#This Row],[TE_COEFFICIENT_MANUAL]],PROPERTIES[[#This Row],[TE_COEFFICIENT_CALC]]),3)</f>
        <v>0.24</v>
      </c>
      <c r="W346" s="10" cm="1">
        <f t="array" ref="W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6" s="32">
        <v>192</v>
      </c>
      <c r="Y346" s="8">
        <v>8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8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9" t="b">
        <v>0</v>
      </c>
      <c r="AY346"/>
      <c r="AZ346"/>
      <c r="BA346"/>
    </row>
    <row r="347" spans="1:53">
      <c r="A347" s="2" t="s">
        <v>367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t="s">
        <v>1806</v>
      </c>
      <c r="F347" t="str">
        <f>_xlfn.XLOOKUP(PROPERTIES[[#This Row],[COUNTRY]],COUNTRIES[COUNTRY_DESCRIPTION],COUNTRIES[COUNTRY_LABEL],"")</f>
        <v>IT</v>
      </c>
      <c r="G347" t="str" cm="1">
        <f t="array" ref="G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7" t="s">
        <v>320</v>
      </c>
      <c r="I347">
        <v>210</v>
      </c>
      <c r="J347">
        <v>8</v>
      </c>
      <c r="K347">
        <v>8</v>
      </c>
      <c r="L347" t="str" cm="1">
        <f t="array" ref="L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7">
        <f>_xlfn.XLOOKUP("LOADINGSPEEDDEF_"&amp;PROPERTIES[[#This Row],[LOADINGSPEED]],LOADINGSPEEDDEF[TYPE],LOADINGSPEEDDEF[SPEED])</f>
        <v>120</v>
      </c>
      <c r="N347" t="str" cm="1">
        <f t="array" ref="N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7">
        <f>IF(ISNUMBER(SEARCH("passenger",PROPERTIES[[#This Row],[CARGODEF]])),1,0)</f>
        <v>1</v>
      </c>
      <c r="P347" s="29">
        <v>31.5</v>
      </c>
      <c r="Q347">
        <v>1650</v>
      </c>
      <c r="R347">
        <v>80</v>
      </c>
      <c r="S347" s="26">
        <v>0</v>
      </c>
      <c r="T347" s="25">
        <f>IFERROR(PROPERTIES[[#This Row],[TE_STARTING_KN]]/(PROPERTIES[[#This Row],[WEIGHT]]*9.81),0)</f>
        <v>0</v>
      </c>
      <c r="U347" s="25">
        <v>0.3</v>
      </c>
      <c r="V347" s="22">
        <f>ROUND(IF(IFERROR(PROPERTIES[[#This Row],[TE_COEFFICIENT_CALC]],0)=0,PROPERTIES[[#This Row],[TE_COEFFICIENT_MANUAL]],PROPERTIES[[#This Row],[TE_COEFFICIENT_CALC]]),3)</f>
        <v>0.3</v>
      </c>
      <c r="W347" s="10" cm="1">
        <f t="array" ref="W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7" s="32">
        <v>194</v>
      </c>
      <c r="Y347" s="8">
        <v>8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8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9" t="b">
        <v>0</v>
      </c>
      <c r="AY347"/>
      <c r="AZ347"/>
      <c r="BA347"/>
    </row>
    <row r="348" spans="1:53">
      <c r="A348" s="2" t="s">
        <v>368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t="s">
        <v>1759</v>
      </c>
      <c r="F348" t="str">
        <f>_xlfn.XLOOKUP(PROPERTIES[[#This Row],[COUNTRY]],COUNTRIES[COUNTRY_DESCRIPTION],COUNTRIES[COUNTRY_LABEL],"")</f>
        <v>DZ</v>
      </c>
      <c r="G348" t="str" cm="1">
        <f t="array" ref="G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8" t="s">
        <v>320</v>
      </c>
      <c r="I348">
        <v>165</v>
      </c>
      <c r="J348">
        <v>7</v>
      </c>
      <c r="K348">
        <v>7</v>
      </c>
      <c r="L348" t="str" cm="1">
        <f t="array" ref="L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8">
        <f>_xlfn.XLOOKUP("LOADINGSPEEDDEF_"&amp;PROPERTIES[[#This Row],[LOADINGSPEED]],LOADINGSPEEDDEF[TYPE],LOADINGSPEEDDEF[SPEED])</f>
        <v>120</v>
      </c>
      <c r="N348" t="str" cm="1">
        <f t="array" ref="N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8">
        <f>IF(ISNUMBER(SEARCH("passenger",PROPERTIES[[#This Row],[CARGODEF]])),1,0)</f>
        <v>1</v>
      </c>
      <c r="P348" s="29">
        <v>25.5</v>
      </c>
      <c r="Q348">
        <v>1450</v>
      </c>
      <c r="R348">
        <v>80</v>
      </c>
      <c r="S348" s="26">
        <v>0</v>
      </c>
      <c r="T348" s="25">
        <f>IFERROR(PROPERTIES[[#This Row],[TE_STARTING_KN]]/(PROPERTIES[[#This Row],[WEIGHT]]*9.81),0)</f>
        <v>0</v>
      </c>
      <c r="U348" s="25">
        <v>0.3</v>
      </c>
      <c r="V348" s="22">
        <f>ROUND(IF(IFERROR(PROPERTIES[[#This Row],[TE_COEFFICIENT_CALC]],0)=0,PROPERTIES[[#This Row],[TE_COEFFICIENT_MANUAL]],PROPERTIES[[#This Row],[TE_COEFFICIENT_CALC]]),3)</f>
        <v>0.3</v>
      </c>
      <c r="W348" s="10" cm="1">
        <f t="array" ref="W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8" s="32">
        <v>215</v>
      </c>
      <c r="Y348" s="8">
        <v>7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8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9" t="b">
        <v>0</v>
      </c>
      <c r="AY348"/>
      <c r="AZ348"/>
      <c r="BA348"/>
    </row>
    <row r="349" spans="1:53">
      <c r="A349" s="2" t="s">
        <v>369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t="s">
        <v>1754</v>
      </c>
      <c r="F349" t="str">
        <f>_xlfn.XLOOKUP(PROPERTIES[[#This Row],[COUNTRY]],COUNTRIES[COUNTRY_DESCRIPTION],COUNTRIES[COUNTRY_LABEL],"")</f>
        <v>DE</v>
      </c>
      <c r="G349" t="str" cm="1">
        <f t="array" ref="G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9" t="s">
        <v>320</v>
      </c>
      <c r="I349">
        <v>125</v>
      </c>
      <c r="J349">
        <v>8</v>
      </c>
      <c r="K349">
        <v>8</v>
      </c>
      <c r="L349" t="str" cm="1">
        <f t="array" ref="L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9">
        <f>_xlfn.XLOOKUP("LOADINGSPEEDDEF_"&amp;PROPERTIES[[#This Row],[LOADINGSPEED]],LOADINGSPEEDDEF[TYPE],LOADINGSPEEDDEF[SPEED])</f>
        <v>120</v>
      </c>
      <c r="N349" t="str" cm="1">
        <f t="array" ref="N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9">
        <f>IF(ISNUMBER(SEARCH("passenger",PROPERTIES[[#This Row],[CARGODEF]])),1,0)</f>
        <v>1</v>
      </c>
      <c r="P349" s="29">
        <v>21.5</v>
      </c>
      <c r="Q349">
        <v>440</v>
      </c>
      <c r="R349">
        <v>80</v>
      </c>
      <c r="S349" s="26">
        <v>0</v>
      </c>
      <c r="T349" s="25">
        <f>IFERROR(PROPERTIES[[#This Row],[TE_STARTING_KN]]/(PROPERTIES[[#This Row],[WEIGHT]]*9.81),0)</f>
        <v>0</v>
      </c>
      <c r="U349" s="25">
        <v>0.22</v>
      </c>
      <c r="V349" s="22">
        <f>ROUND(IF(IFERROR(PROPERTIES[[#This Row],[TE_COEFFICIENT_CALC]],0)=0,PROPERTIES[[#This Row],[TE_COEFFICIENT_MANUAL]],PROPERTIES[[#This Row],[TE_COEFFICIENT_CALC]]),3)</f>
        <v>0.22</v>
      </c>
      <c r="W349" s="10" cm="1">
        <f t="array" ref="W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9" s="32">
        <v>145</v>
      </c>
      <c r="Y349" s="8">
        <v>8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8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9" t="b">
        <v>0</v>
      </c>
      <c r="AY349"/>
      <c r="AZ349"/>
      <c r="BA349"/>
    </row>
    <row r="350" spans="1:53">
      <c r="A350" s="2" t="s">
        <v>370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t="s">
        <v>1928</v>
      </c>
      <c r="F350" t="str">
        <f>_xlfn.XLOOKUP(PROPERTIES[[#This Row],[COUNTRY]],COUNTRIES[COUNTRY_DESCRIPTION],COUNTRIES[COUNTRY_LABEL],"")</f>
        <v>US</v>
      </c>
      <c r="G350" t="str" cm="1">
        <f t="array" ref="G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0" t="s">
        <v>320</v>
      </c>
      <c r="I350">
        <v>125</v>
      </c>
      <c r="J350">
        <v>7</v>
      </c>
      <c r="K350">
        <v>7</v>
      </c>
      <c r="L350" t="str" cm="1">
        <f t="array" ref="L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0">
        <f>_xlfn.XLOOKUP("LOADINGSPEEDDEF_"&amp;PROPERTIES[[#This Row],[LOADINGSPEED]],LOADINGSPEEDDEF[TYPE],LOADINGSPEEDDEF[SPEED])</f>
        <v>120</v>
      </c>
      <c r="N350" cm="1">
        <f t="array" ref="N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0">
        <f>IF(ISNUMBER(SEARCH("passenger",PROPERTIES[[#This Row],[CARGODEF]])),1,0)</f>
        <v>1</v>
      </c>
      <c r="P350" s="29">
        <v>21.5</v>
      </c>
      <c r="Q350">
        <v>440</v>
      </c>
      <c r="R350">
        <v>80</v>
      </c>
      <c r="S350" s="26">
        <v>0</v>
      </c>
      <c r="T350" s="25">
        <f>IFERROR(PROPERTIES[[#This Row],[TE_STARTING_KN]]/(PROPERTIES[[#This Row],[WEIGHT]]*9.81),0)</f>
        <v>0</v>
      </c>
      <c r="U350" s="25">
        <v>0.22</v>
      </c>
      <c r="V350" s="22">
        <f>ROUND(IF(IFERROR(PROPERTIES[[#This Row],[TE_COEFFICIENT_CALC]],0)=0,PROPERTIES[[#This Row],[TE_COEFFICIENT_MANUAL]],PROPERTIES[[#This Row],[TE_COEFFICIENT_CALC]]),3)</f>
        <v>0.22</v>
      </c>
      <c r="W350" s="10" cm="1">
        <f t="array" ref="W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0" s="32">
        <v>130</v>
      </c>
      <c r="Y350" s="8">
        <v>7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8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9" t="b">
        <v>0</v>
      </c>
      <c r="AY350"/>
      <c r="AZ350"/>
      <c r="BA350"/>
    </row>
    <row r="351" spans="1:53">
      <c r="A351" s="2" t="s">
        <v>371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t="s">
        <v>1773</v>
      </c>
      <c r="F351" t="str">
        <f>_xlfn.XLOOKUP(PROPERTIES[[#This Row],[COUNTRY]],COUNTRIES[COUNTRY_DESCRIPTION],COUNTRIES[COUNTRY_LABEL],"")</f>
        <v>GB</v>
      </c>
      <c r="G351" t="str" cm="1">
        <f t="array" ref="G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1" t="s">
        <v>320</v>
      </c>
      <c r="I351">
        <v>90</v>
      </c>
      <c r="J351">
        <v>8</v>
      </c>
      <c r="K351">
        <v>8</v>
      </c>
      <c r="L351" t="str" cm="1">
        <f t="array" ref="L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1">
        <f>_xlfn.XLOOKUP("LOADINGSPEEDDEF_"&amp;PROPERTIES[[#This Row],[LOADINGSPEED]],LOADINGSPEEDDEF[TYPE],LOADINGSPEEDDEF[SPEED])</f>
        <v>120</v>
      </c>
      <c r="N351" cm="1">
        <f t="array" ref="N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1">
        <f>IF(ISNUMBER(SEARCH("passenger",PROPERTIES[[#This Row],[CARGODEF]])),1,0)</f>
        <v>1</v>
      </c>
      <c r="P351" s="29">
        <v>29.5</v>
      </c>
      <c r="Q351">
        <v>400</v>
      </c>
      <c r="R351">
        <v>55</v>
      </c>
      <c r="S351" s="26">
        <v>0</v>
      </c>
      <c r="T351" s="25">
        <f>IFERROR(PROPERTIES[[#This Row],[TE_STARTING_KN]]/(PROPERTIES[[#This Row],[WEIGHT]]*9.81),0)</f>
        <v>0</v>
      </c>
      <c r="U351" s="25">
        <v>0.18</v>
      </c>
      <c r="V351" s="22">
        <f>ROUND(IF(IFERROR(PROPERTIES[[#This Row],[TE_COEFFICIENT_CALC]],0)=0,PROPERTIES[[#This Row],[TE_COEFFICIENT_MANUAL]],PROPERTIES[[#This Row],[TE_COEFFICIENT_CALC]]),3)</f>
        <v>0.18</v>
      </c>
      <c r="W351" s="10" cm="1">
        <f t="array" ref="W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1" s="32">
        <v>125</v>
      </c>
      <c r="Y351" s="8">
        <v>8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8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9" t="b">
        <v>0</v>
      </c>
      <c r="AY351"/>
      <c r="AZ351"/>
      <c r="BA351"/>
    </row>
    <row r="352" spans="1:53">
      <c r="A352" s="2" t="s">
        <v>372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t="s">
        <v>1773</v>
      </c>
      <c r="F352" t="str">
        <f>_xlfn.XLOOKUP(PROPERTIES[[#This Row],[COUNTRY]],COUNTRIES[COUNTRY_DESCRIPTION],COUNTRIES[COUNTRY_LABEL],"")</f>
        <v>GB</v>
      </c>
      <c r="G352" t="str" cm="1">
        <f t="array" ref="G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2" t="s">
        <v>320</v>
      </c>
      <c r="I352">
        <v>105</v>
      </c>
      <c r="J352">
        <v>7</v>
      </c>
      <c r="K352">
        <v>7</v>
      </c>
      <c r="L352" t="str" cm="1">
        <f t="array" ref="L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2">
        <f>_xlfn.XLOOKUP("LOADINGSPEEDDEF_"&amp;PROPERTIES[[#This Row],[LOADINGSPEED]],LOADINGSPEEDDEF[TYPE],LOADINGSPEEDDEF[SPEED])</f>
        <v>120</v>
      </c>
      <c r="N352" cm="1">
        <f t="array" ref="N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2">
        <f>IF(ISNUMBER(SEARCH("passenger",PROPERTIES[[#This Row],[CARGODEF]])),1,0)</f>
        <v>1</v>
      </c>
      <c r="P352" s="29">
        <v>25.5</v>
      </c>
      <c r="Q352">
        <v>600</v>
      </c>
      <c r="R352">
        <v>72</v>
      </c>
      <c r="S352" s="26">
        <v>0</v>
      </c>
      <c r="T352" s="25">
        <f>IFERROR(PROPERTIES[[#This Row],[TE_STARTING_KN]]/(PROPERTIES[[#This Row],[WEIGHT]]*9.81),0)</f>
        <v>0</v>
      </c>
      <c r="U352" s="25">
        <v>0.2</v>
      </c>
      <c r="V352" s="22">
        <f>ROUND(IF(IFERROR(PROPERTIES[[#This Row],[TE_COEFFICIENT_CALC]],0)=0,PROPERTIES[[#This Row],[TE_COEFFICIENT_MANUAL]],PROPERTIES[[#This Row],[TE_COEFFICIENT_CALC]]),3)</f>
        <v>0.2</v>
      </c>
      <c r="W352" s="10" cm="1">
        <f t="array" ref="W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352" s="32">
        <v>120</v>
      </c>
      <c r="Y352" s="8">
        <v>7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8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9" t="b">
        <v>0</v>
      </c>
      <c r="AY352"/>
      <c r="AZ352"/>
      <c r="BA352"/>
    </row>
    <row r="353" spans="1:53">
      <c r="A353" s="2" t="s">
        <v>373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t="s">
        <v>1773</v>
      </c>
      <c r="F353" t="str">
        <f>_xlfn.XLOOKUP(PROPERTIES[[#This Row],[COUNTRY]],COUNTRIES[COUNTRY_DESCRIPTION],COUNTRIES[COUNTRY_LABEL],"")</f>
        <v>GB</v>
      </c>
      <c r="G353" t="str" cm="1">
        <f t="array" ref="G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3" t="s">
        <v>19</v>
      </c>
      <c r="I353">
        <v>0</v>
      </c>
      <c r="J353">
        <v>7</v>
      </c>
      <c r="K353">
        <v>7</v>
      </c>
      <c r="L353" t="str" cm="1">
        <f t="array" ref="L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3">
        <f>_xlfn.XLOOKUP("LOADINGSPEEDDEF_"&amp;PROPERTIES[[#This Row],[LOADINGSPEED]],LOADINGSPEEDDEF[TYPE],LOADINGSPEEDDEF[SPEED])</f>
        <v>20</v>
      </c>
      <c r="N353" cm="1">
        <f t="array" ref="N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3">
        <f>IF(ISNUMBER(SEARCH("passenger",PROPERTIES[[#This Row],[CARGODEF]])),1,0)</f>
        <v>0</v>
      </c>
      <c r="P353" s="29">
        <v>74</v>
      </c>
      <c r="Q353">
        <v>1100</v>
      </c>
      <c r="R353">
        <v>40</v>
      </c>
      <c r="S353" s="26">
        <v>125</v>
      </c>
      <c r="T353" s="25">
        <f>IFERROR(PROPERTIES[[#This Row],[TE_STARTING_KN]]/(PROPERTIES[[#This Row],[WEIGHT]]*9.81),0)</f>
        <v>0.17219053916301622</v>
      </c>
      <c r="U353" s="25">
        <v>0.18</v>
      </c>
      <c r="V353" s="22">
        <f>ROUND(IF(IFERROR(PROPERTIES[[#This Row],[TE_COEFFICIENT_CALC]],0)=0,PROPERTIES[[#This Row],[TE_COEFFICIENT_MANUAL]],PROPERTIES[[#This Row],[TE_COEFFICIENT_CALC]]),3)</f>
        <v>0.17199999999999999</v>
      </c>
      <c r="W353" s="10" cm="1">
        <f t="array" ref="W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53" s="32">
        <v>0</v>
      </c>
      <c r="Y353" s="8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8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9" t="b">
        <v>0</v>
      </c>
      <c r="AY353"/>
      <c r="AZ353"/>
      <c r="BA353"/>
    </row>
    <row r="354" spans="1:53">
      <c r="A354" s="2" t="s">
        <v>374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t="s">
        <v>1810</v>
      </c>
      <c r="F354" t="str">
        <f>_xlfn.XLOOKUP(PROPERTIES[[#This Row],[COUNTRY]],COUNTRIES[COUNTRY_DESCRIPTION],COUNTRIES[COUNTRY_LABEL],"")</f>
        <v>JP</v>
      </c>
      <c r="G354" t="str" cm="1">
        <f t="array" ref="G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4" t="s">
        <v>19</v>
      </c>
      <c r="I354">
        <v>0</v>
      </c>
      <c r="J354">
        <v>5</v>
      </c>
      <c r="K354">
        <v>5</v>
      </c>
      <c r="L354" t="str" cm="1">
        <f t="array" ref="L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4">
        <f>_xlfn.XLOOKUP("LOADINGSPEEDDEF_"&amp;PROPERTIES[[#This Row],[LOADINGSPEED]],LOADINGSPEEDDEF[TYPE],LOADINGSPEEDDEF[SPEED])</f>
        <v>20</v>
      </c>
      <c r="N354" cm="1">
        <f t="array" ref="N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4">
        <f>IF(ISNUMBER(SEARCH("passenger",PROPERTIES[[#This Row],[CARGODEF]])),1,0)</f>
        <v>0</v>
      </c>
      <c r="P354" s="29">
        <v>22.64</v>
      </c>
      <c r="Q354">
        <v>360</v>
      </c>
      <c r="R354">
        <v>19</v>
      </c>
      <c r="S354" s="26">
        <v>38</v>
      </c>
      <c r="T354" s="25">
        <f>IFERROR(PROPERTIES[[#This Row],[TE_STARTING_KN]]/(PROPERTIES[[#This Row],[WEIGHT]]*9.81),0)</f>
        <v>0.17109533432028323</v>
      </c>
      <c r="U354" s="25">
        <v>0.3</v>
      </c>
      <c r="V354" s="22">
        <f>ROUND(IF(IFERROR(PROPERTIES[[#This Row],[TE_COEFFICIENT_CALC]],0)=0,PROPERTIES[[#This Row],[TE_COEFFICIENT_MANUAL]],PROPERTIES[[#This Row],[TE_COEFFICIENT_CALC]]),3)</f>
        <v>0.17100000000000001</v>
      </c>
      <c r="W354" s="10" cm="1">
        <f t="array" ref="W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354" s="32">
        <v>0</v>
      </c>
      <c r="Y354" s="8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8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9" t="b">
        <v>0</v>
      </c>
      <c r="AY354"/>
      <c r="AZ354"/>
      <c r="BA354"/>
    </row>
    <row r="355" spans="1:53">
      <c r="A355" s="2" t="s">
        <v>375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t="s">
        <v>1810</v>
      </c>
      <c r="F355" t="str">
        <f>_xlfn.XLOOKUP(PROPERTIES[[#This Row],[COUNTRY]],COUNTRIES[COUNTRY_DESCRIPTION],COUNTRIES[COUNTRY_LABEL],"")</f>
        <v>JP</v>
      </c>
      <c r="G355" t="str" cm="1">
        <f t="array" ref="G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5" t="s">
        <v>19</v>
      </c>
      <c r="I355">
        <v>0</v>
      </c>
      <c r="J355">
        <v>8</v>
      </c>
      <c r="K355">
        <v>8</v>
      </c>
      <c r="L355" t="str" cm="1">
        <f t="array" ref="L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5">
        <f>_xlfn.XLOOKUP("LOADINGSPEEDDEF_"&amp;PROPERTIES[[#This Row],[LOADINGSPEED]],LOADINGSPEEDDEF[TYPE],LOADINGSPEEDDEF[SPEED])</f>
        <v>20</v>
      </c>
      <c r="N355" cm="1">
        <f t="array" ref="N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5">
        <f>IF(ISNUMBER(SEARCH("passenger",PROPERTIES[[#This Row],[CARGODEF]])),1,0)</f>
        <v>0</v>
      </c>
      <c r="P355" s="29">
        <v>100</v>
      </c>
      <c r="Q355">
        <v>1810</v>
      </c>
      <c r="R355">
        <v>75</v>
      </c>
      <c r="S355" s="26">
        <v>61.7</v>
      </c>
      <c r="T355" s="25">
        <f>IFERROR(PROPERTIES[[#This Row],[TE_STARTING_KN]]/(PROPERTIES[[#This Row],[WEIGHT]]*9.81),0)</f>
        <v>6.2895005096839957E-2</v>
      </c>
      <c r="U355" s="25">
        <v>0.06</v>
      </c>
      <c r="V355" s="22">
        <f>ROUND(IF(IFERROR(PROPERTIES[[#This Row],[TE_COEFFICIENT_CALC]],0)=0,PROPERTIES[[#This Row],[TE_COEFFICIENT_MANUAL]],PROPERTIES[[#This Row],[TE_COEFFICIENT_CALC]]),3)</f>
        <v>6.3E-2</v>
      </c>
      <c r="W355" s="10" cm="1">
        <f t="array" ref="W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5" s="32">
        <v>0</v>
      </c>
      <c r="Y355" s="8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8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9" t="b">
        <v>0</v>
      </c>
      <c r="AY355"/>
      <c r="AZ355"/>
      <c r="BA355"/>
    </row>
    <row r="356" spans="1:53">
      <c r="A356" s="2" t="s">
        <v>376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t="s">
        <v>1862</v>
      </c>
      <c r="F356" t="str">
        <f>_xlfn.XLOOKUP(PROPERTIES[[#This Row],[COUNTRY]],COUNTRIES[COUNTRY_DESCRIPTION],COUNTRIES[COUNTRY_LABEL],"")</f>
        <v>NL</v>
      </c>
      <c r="G356" t="str" cm="1">
        <f t="array" ref="G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6" t="s">
        <v>19</v>
      </c>
      <c r="I356">
        <v>0</v>
      </c>
      <c r="J356">
        <v>8</v>
      </c>
      <c r="K356">
        <v>8</v>
      </c>
      <c r="L356" t="str" cm="1">
        <f t="array" ref="L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6">
        <f>_xlfn.XLOOKUP("LOADINGSPEEDDEF_"&amp;PROPERTIES[[#This Row],[LOADINGSPEED]],LOADINGSPEEDDEF[TYPE],LOADINGSPEEDDEF[SPEED])</f>
        <v>20</v>
      </c>
      <c r="N356" cm="1">
        <f t="array" ref="N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6">
        <f>IF(ISNUMBER(SEARCH("passenger",PROPERTIES[[#This Row],[CARGODEF]])),1,0)</f>
        <v>0</v>
      </c>
      <c r="P356" s="29">
        <v>100</v>
      </c>
      <c r="Q356">
        <v>3749</v>
      </c>
      <c r="R356">
        <v>100</v>
      </c>
      <c r="S356" s="26">
        <v>177</v>
      </c>
      <c r="T356" s="25">
        <f>IFERROR(PROPERTIES[[#This Row],[TE_STARTING_KN]]/(PROPERTIES[[#This Row],[WEIGHT]]*9.81),0)</f>
        <v>0.18042813455657492</v>
      </c>
      <c r="U356" s="25">
        <v>0.18</v>
      </c>
      <c r="V356" s="22">
        <f>ROUND(IF(IFERROR(PROPERTIES[[#This Row],[TE_COEFFICIENT_CALC]],0)=0,PROPERTIES[[#This Row],[TE_COEFFICIENT_MANUAL]],PROPERTIES[[#This Row],[TE_COEFFICIENT_CALC]]),3)</f>
        <v>0.18</v>
      </c>
      <c r="W356" s="10" cm="1">
        <f t="array" ref="W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356" s="32">
        <v>0</v>
      </c>
      <c r="Y356" s="8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8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9" t="b">
        <v>0</v>
      </c>
      <c r="AY356"/>
      <c r="AZ356"/>
      <c r="BA356"/>
    </row>
    <row r="357" spans="1:53">
      <c r="A357" s="2" t="s">
        <v>377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t="s">
        <v>1862</v>
      </c>
      <c r="F357" t="str">
        <f>_xlfn.XLOOKUP(PROPERTIES[[#This Row],[COUNTRY]],COUNTRIES[COUNTRY_DESCRIPTION],COUNTRIES[COUNTRY_LABEL],"")</f>
        <v>NL</v>
      </c>
      <c r="G357" t="str" cm="1">
        <f t="array" ref="G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7" t="s">
        <v>19</v>
      </c>
      <c r="I357">
        <v>0</v>
      </c>
      <c r="J357">
        <v>8</v>
      </c>
      <c r="K357">
        <v>8</v>
      </c>
      <c r="L357" t="str" cm="1">
        <f t="array" ref="L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7">
        <f>_xlfn.XLOOKUP("LOADINGSPEEDDEF_"&amp;PROPERTIES[[#This Row],[LOADINGSPEED]],LOADINGSPEEDDEF[TYPE],LOADINGSPEEDDEF[SPEED])</f>
        <v>20</v>
      </c>
      <c r="N357" cm="1">
        <f t="array" ref="N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7">
        <f>IF(ISNUMBER(SEARCH("passenger",PROPERTIES[[#This Row],[CARGODEF]])),1,0)</f>
        <v>0</v>
      </c>
      <c r="P357" s="29">
        <v>83</v>
      </c>
      <c r="Q357">
        <v>6200</v>
      </c>
      <c r="R357">
        <v>160</v>
      </c>
      <c r="S357" s="26">
        <v>294</v>
      </c>
      <c r="T357" s="25">
        <f>IFERROR(PROPERTIES[[#This Row],[TE_STARTING_KN]]/(PROPERTIES[[#This Row],[WEIGHT]]*9.81),0)</f>
        <v>0.36107733687041743</v>
      </c>
      <c r="U357" s="25">
        <v>0.31</v>
      </c>
      <c r="V357" s="22">
        <f>ROUND(IF(IFERROR(PROPERTIES[[#This Row],[TE_COEFFICIENT_CALC]],0)=0,PROPERTIES[[#This Row],[TE_COEFFICIENT_MANUAL]],PROPERTIES[[#This Row],[TE_COEFFICIENT_CALC]]),3)</f>
        <v>0.36099999999999999</v>
      </c>
      <c r="W357" s="10" cm="1">
        <f t="array" ref="W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57" s="32">
        <v>0</v>
      </c>
      <c r="Y357" s="8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8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9" t="b">
        <v>0</v>
      </c>
      <c r="AY357"/>
      <c r="AZ357"/>
      <c r="BA357"/>
    </row>
    <row r="358" spans="1:53">
      <c r="A358" s="2" t="s">
        <v>378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t="s">
        <v>1710</v>
      </c>
      <c r="F358" t="str">
        <f>_xlfn.XLOOKUP(PROPERTIES[[#This Row],[COUNTRY]],COUNTRIES[COUNTRY_DESCRIPTION],COUNTRIES[COUNTRY_LABEL],"")</f>
        <v>AU</v>
      </c>
      <c r="G358" t="str" cm="1">
        <f t="array" ref="G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8" t="s">
        <v>19</v>
      </c>
      <c r="I358">
        <v>0</v>
      </c>
      <c r="J358">
        <v>7</v>
      </c>
      <c r="K358">
        <v>7</v>
      </c>
      <c r="L358" t="str" cm="1">
        <f t="array" ref="L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8">
        <f>_xlfn.XLOOKUP("LOADINGSPEEDDEF_"&amp;PROPERTIES[[#This Row],[LOADINGSPEED]],LOADINGSPEEDDEF[TYPE],LOADINGSPEEDDEF[SPEED])</f>
        <v>20</v>
      </c>
      <c r="N358" cm="1">
        <f t="array" ref="N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8">
        <f>IF(ISNUMBER(SEARCH("passenger",PROPERTIES[[#This Row],[CARGODEF]])),1,0)</f>
        <v>0</v>
      </c>
      <c r="P358" s="29">
        <v>56</v>
      </c>
      <c r="Q358">
        <v>620</v>
      </c>
      <c r="R358">
        <v>65</v>
      </c>
      <c r="S358" s="26">
        <v>109</v>
      </c>
      <c r="T358" s="25">
        <f>IFERROR(PROPERTIES[[#This Row],[TE_STARTING_KN]]/(PROPERTIES[[#This Row],[WEIGHT]]*9.81),0)</f>
        <v>0.1984126984126984</v>
      </c>
      <c r="U358" s="25">
        <v>0.11</v>
      </c>
      <c r="V358" s="22">
        <f>ROUND(IF(IFERROR(PROPERTIES[[#This Row],[TE_COEFFICIENT_CALC]],0)=0,PROPERTIES[[#This Row],[TE_COEFFICIENT_MANUAL]],PROPERTIES[[#This Row],[TE_COEFFICIENT_CALC]]),3)</f>
        <v>0.19800000000000001</v>
      </c>
      <c r="W358" s="10" cm="1">
        <f t="array" ref="W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358" s="32">
        <v>0</v>
      </c>
      <c r="Y358" s="8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8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9" t="b">
        <v>0</v>
      </c>
      <c r="AY358"/>
      <c r="AZ358"/>
      <c r="BA358"/>
    </row>
    <row r="359" spans="1:53">
      <c r="A359" s="2" t="s">
        <v>379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t="s">
        <v>1773</v>
      </c>
      <c r="F359" t="str">
        <f>_xlfn.XLOOKUP(PROPERTIES[[#This Row],[COUNTRY]],COUNTRIES[COUNTRY_DESCRIPTION],COUNTRIES[COUNTRY_LABEL],"")</f>
        <v>GB</v>
      </c>
      <c r="G359" t="str" cm="1">
        <f t="array" ref="G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9" t="s">
        <v>19</v>
      </c>
      <c r="I359">
        <v>0</v>
      </c>
      <c r="J359">
        <v>6</v>
      </c>
      <c r="K359">
        <v>6</v>
      </c>
      <c r="L359" t="str" cm="1">
        <f t="array" ref="L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9">
        <f>_xlfn.XLOOKUP("LOADINGSPEEDDEF_"&amp;PROPERTIES[[#This Row],[LOADINGSPEED]],LOADINGSPEEDDEF[TYPE],LOADINGSPEEDDEF[SPEED])</f>
        <v>20</v>
      </c>
      <c r="N359" cm="1">
        <f t="array" ref="N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9">
        <f>IF(ISNUMBER(SEARCH("passenger",PROPERTIES[[#This Row],[CARGODEF]])),1,0)</f>
        <v>0</v>
      </c>
      <c r="P359" s="29">
        <v>57</v>
      </c>
      <c r="Q359">
        <v>640</v>
      </c>
      <c r="R359">
        <v>43</v>
      </c>
      <c r="S359" s="26">
        <v>111.2</v>
      </c>
      <c r="T359" s="25">
        <f>IFERROR(PROPERTIES[[#This Row],[TE_STARTING_KN]]/(PROPERTIES[[#This Row],[WEIGHT]]*9.81),0)</f>
        <v>0.19886617665468459</v>
      </c>
      <c r="U359" s="25">
        <v>0.19</v>
      </c>
      <c r="V359" s="22">
        <f>ROUND(IF(IFERROR(PROPERTIES[[#This Row],[TE_COEFFICIENT_CALC]],0)=0,PROPERTIES[[#This Row],[TE_COEFFICIENT_MANUAL]],PROPERTIES[[#This Row],[TE_COEFFICIENT_CALC]]),3)</f>
        <v>0.19900000000000001</v>
      </c>
      <c r="W359" s="10" cm="1">
        <f t="array" ref="W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59" s="32">
        <v>0</v>
      </c>
      <c r="Y359" s="8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8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9" t="b">
        <v>0</v>
      </c>
      <c r="AY359"/>
      <c r="AZ359"/>
      <c r="BA359"/>
    </row>
    <row r="360" spans="1:53">
      <c r="A360" s="2" t="s">
        <v>380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t="s">
        <v>1928</v>
      </c>
      <c r="F360" t="str">
        <f>_xlfn.XLOOKUP(PROPERTIES[[#This Row],[COUNTRY]],COUNTRIES[COUNTRY_DESCRIPTION],COUNTRIES[COUNTRY_LABEL],"")</f>
        <v>US</v>
      </c>
      <c r="G360" t="str" cm="1">
        <f t="array" ref="G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0" t="s">
        <v>19</v>
      </c>
      <c r="I360">
        <v>0</v>
      </c>
      <c r="J360">
        <v>7</v>
      </c>
      <c r="K360">
        <v>7</v>
      </c>
      <c r="L360" t="str" cm="1">
        <f t="array" ref="L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0">
        <f>_xlfn.XLOOKUP("LOADINGSPEEDDEF_"&amp;PROPERTIES[[#This Row],[LOADINGSPEED]],LOADINGSPEEDDEF[TYPE],LOADINGSPEEDDEF[SPEED])</f>
        <v>20</v>
      </c>
      <c r="N360" cm="1">
        <f t="array" ref="N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0">
        <f>IF(ISNUMBER(SEARCH("passenger",PROPERTIES[[#This Row],[CARGODEF]])),1,0)</f>
        <v>0</v>
      </c>
      <c r="P360" s="29">
        <v>103</v>
      </c>
      <c r="Q360">
        <v>2200</v>
      </c>
      <c r="R360">
        <v>97</v>
      </c>
      <c r="S360" s="26">
        <v>160</v>
      </c>
      <c r="T360" s="25">
        <f>IFERROR(PROPERTIES[[#This Row],[TE_STARTING_KN]]/(PROPERTIES[[#This Row],[WEIGHT]]*9.81),0)</f>
        <v>0.15834842591767861</v>
      </c>
      <c r="U360" s="25">
        <v>0.16</v>
      </c>
      <c r="V360" s="22">
        <f>ROUND(IF(IFERROR(PROPERTIES[[#This Row],[TE_COEFFICIENT_CALC]],0)=0,PROPERTIES[[#This Row],[TE_COEFFICIENT_MANUAL]],PROPERTIES[[#This Row],[TE_COEFFICIENT_CALC]]),3)</f>
        <v>0.158</v>
      </c>
      <c r="W360" s="10" cm="1">
        <f t="array" ref="W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0" s="32">
        <v>0</v>
      </c>
      <c r="Y360" s="8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8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9" t="b">
        <v>0</v>
      </c>
      <c r="AY360"/>
      <c r="AZ360"/>
      <c r="BA360"/>
    </row>
    <row r="361" spans="1:53">
      <c r="A361" s="2" t="s">
        <v>381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t="s">
        <v>1810</v>
      </c>
      <c r="F361" t="str">
        <f>_xlfn.XLOOKUP(PROPERTIES[[#This Row],[COUNTRY]],COUNTRIES[COUNTRY_DESCRIPTION],COUNTRIES[COUNTRY_LABEL],"")</f>
        <v>JP</v>
      </c>
      <c r="G361" t="str" cm="1">
        <f t="array" ref="G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1" t="s">
        <v>19</v>
      </c>
      <c r="I361">
        <v>0</v>
      </c>
      <c r="J361">
        <v>6</v>
      </c>
      <c r="K361">
        <v>6</v>
      </c>
      <c r="L361" t="str" cm="1">
        <f t="array" ref="L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1">
        <f>_xlfn.XLOOKUP("LOADINGSPEEDDEF_"&amp;PROPERTIES[[#This Row],[LOADINGSPEED]],LOADINGSPEEDDEF[TYPE],LOADINGSPEEDDEF[SPEED])</f>
        <v>20</v>
      </c>
      <c r="N361" cm="1">
        <f t="array" ref="N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1">
        <f>IF(ISNUMBER(SEARCH("passenger",PROPERTIES[[#This Row],[CARGODEF]])),1,0)</f>
        <v>0</v>
      </c>
      <c r="P361" s="29">
        <v>40</v>
      </c>
      <c r="Q361">
        <v>482</v>
      </c>
      <c r="R361">
        <v>28</v>
      </c>
      <c r="S361" s="26">
        <v>78</v>
      </c>
      <c r="T361" s="25">
        <f>IFERROR(PROPERTIES[[#This Row],[TE_STARTING_KN]]/(PROPERTIES[[#This Row],[WEIGHT]]*9.81),0)</f>
        <v>0.19877675840978593</v>
      </c>
      <c r="U361" s="25">
        <v>0.12</v>
      </c>
      <c r="V361" s="22">
        <f>ROUND(IF(IFERROR(PROPERTIES[[#This Row],[TE_COEFFICIENT_CALC]],0)=0,PROPERTIES[[#This Row],[TE_COEFFICIENT_MANUAL]],PROPERTIES[[#This Row],[TE_COEFFICIENT_CALC]]),3)</f>
        <v>0.19900000000000001</v>
      </c>
      <c r="W361" s="10" cm="1">
        <f t="array" ref="W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61" s="32">
        <v>0</v>
      </c>
      <c r="Y361" s="8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8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9" t="b">
        <v>0</v>
      </c>
      <c r="AY361"/>
      <c r="AZ361"/>
      <c r="BA361"/>
    </row>
    <row r="362" spans="1:53">
      <c r="A362" s="2" t="s">
        <v>382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t="s">
        <v>1801</v>
      </c>
      <c r="F362" t="str">
        <f>_xlfn.XLOOKUP(PROPERTIES[[#This Row],[COUNTRY]],COUNTRIES[COUNTRY_DESCRIPTION],COUNTRIES[COUNTRY_LABEL],"")</f>
        <v>IN</v>
      </c>
      <c r="G362" t="str" cm="1">
        <f t="array" ref="G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2" t="s">
        <v>19</v>
      </c>
      <c r="I362">
        <v>0</v>
      </c>
      <c r="J362">
        <v>8</v>
      </c>
      <c r="K362">
        <v>8</v>
      </c>
      <c r="L362" t="str" cm="1">
        <f t="array" ref="L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2">
        <f>_xlfn.XLOOKUP("LOADINGSPEEDDEF_"&amp;PROPERTIES[[#This Row],[LOADINGSPEED]],LOADINGSPEEDDEF[TYPE],LOADINGSPEEDDEF[SPEED])</f>
        <v>20</v>
      </c>
      <c r="N362" cm="1">
        <f t="array" ref="N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2">
        <f>IF(ISNUMBER(SEARCH("passenger",PROPERTIES[[#This Row],[CARGODEF]])),1,0)</f>
        <v>0</v>
      </c>
      <c r="P362" s="29">
        <v>123</v>
      </c>
      <c r="Q362">
        <v>2600</v>
      </c>
      <c r="R362">
        <v>80</v>
      </c>
      <c r="S362" s="26">
        <v>300</v>
      </c>
      <c r="T362" s="25">
        <f>IFERROR(PROPERTIES[[#This Row],[TE_STARTING_KN]]/(PROPERTIES[[#This Row],[WEIGHT]]*9.81),0)</f>
        <v>0.24862633947440391</v>
      </c>
      <c r="U362" s="25">
        <v>0.6</v>
      </c>
      <c r="V362" s="22">
        <f>ROUND(IF(IFERROR(PROPERTIES[[#This Row],[TE_COEFFICIENT_CALC]],0)=0,PROPERTIES[[#This Row],[TE_COEFFICIENT_MANUAL]],PROPERTIES[[#This Row],[TE_COEFFICIENT_CALC]]),3)</f>
        <v>0.249</v>
      </c>
      <c r="W362" s="10" cm="1">
        <f t="array" ref="W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X362" s="32">
        <v>0</v>
      </c>
      <c r="Y362" s="8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8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9" t="b">
        <v>0</v>
      </c>
      <c r="AY362"/>
      <c r="AZ362"/>
      <c r="BA362"/>
    </row>
    <row r="363" spans="1:53">
      <c r="A363" s="2" t="s">
        <v>383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t="s">
        <v>1772</v>
      </c>
      <c r="F363" t="str">
        <f>_xlfn.XLOOKUP(PROPERTIES[[#This Row],[COUNTRY]],COUNTRIES[COUNTRY_DESCRIPTION],COUNTRIES[COUNTRY_LABEL],"")</f>
        <v>FR</v>
      </c>
      <c r="G363" t="str" cm="1">
        <f t="array" ref="G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3" t="s">
        <v>19</v>
      </c>
      <c r="I363">
        <v>0</v>
      </c>
      <c r="J363">
        <v>8</v>
      </c>
      <c r="K363">
        <v>8</v>
      </c>
      <c r="L363" t="str" cm="1">
        <f t="array" ref="L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3">
        <f>_xlfn.XLOOKUP("LOADINGSPEEDDEF_"&amp;PROPERTIES[[#This Row],[LOADINGSPEED]],LOADINGSPEEDDEF[TYPE],LOADINGSPEEDDEF[SPEED])</f>
        <v>20</v>
      </c>
      <c r="N363" cm="1">
        <f t="array" ref="N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3">
        <f>IF(ISNUMBER(SEARCH("passenger",PROPERTIES[[#This Row],[CARGODEF]])),1,0)</f>
        <v>0</v>
      </c>
      <c r="P363" s="29">
        <v>83</v>
      </c>
      <c r="Q363">
        <v>4260</v>
      </c>
      <c r="R363">
        <v>140</v>
      </c>
      <c r="S363" s="26">
        <v>235</v>
      </c>
      <c r="T363" s="25">
        <f>IFERROR(PROPERTIES[[#This Row],[TE_STARTING_KN]]/(PROPERTIES[[#This Row],[WEIGHT]]*9.81),0)</f>
        <v>0.28861623865492553</v>
      </c>
      <c r="U363" s="25">
        <v>0.25</v>
      </c>
      <c r="V363" s="22">
        <f>ROUND(IF(IFERROR(PROPERTIES[[#This Row],[TE_COEFFICIENT_CALC]],0)=0,PROPERTIES[[#This Row],[TE_COEFFICIENT_MANUAL]],PROPERTIES[[#This Row],[TE_COEFFICIENT_CALC]]),3)</f>
        <v>0.28899999999999998</v>
      </c>
      <c r="W363" s="10" cm="1">
        <f t="array" ref="W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3" s="32">
        <v>0</v>
      </c>
      <c r="Y363" s="8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8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9" t="b">
        <v>0</v>
      </c>
      <c r="AY363"/>
      <c r="AZ363"/>
      <c r="BA363"/>
    </row>
    <row r="364" spans="1:53">
      <c r="A364" s="2" t="s">
        <v>384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t="s">
        <v>1797</v>
      </c>
      <c r="F364" t="str">
        <f>_xlfn.XLOOKUP(PROPERTIES[[#This Row],[COUNTRY]],COUNTRIES[COUNTRY_DESCRIPTION],COUNTRIES[COUNTRY_LABEL],"")</f>
        <v>ID</v>
      </c>
      <c r="G364" t="str" cm="1">
        <f t="array" ref="G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4" t="s">
        <v>19</v>
      </c>
      <c r="I364">
        <v>0</v>
      </c>
      <c r="J364">
        <v>6</v>
      </c>
      <c r="K364">
        <v>6</v>
      </c>
      <c r="L364" t="str" cm="1">
        <f t="array" ref="L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4">
        <f>_xlfn.XLOOKUP("LOADINGSPEEDDEF_"&amp;PROPERTIES[[#This Row],[LOADINGSPEED]],LOADINGSPEEDDEF[TYPE],LOADINGSPEEDDEF[SPEED])</f>
        <v>20</v>
      </c>
      <c r="N364" cm="1">
        <f t="array" ref="N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4">
        <f>IF(ISNUMBER(SEARCH("passenger",PROPERTIES[[#This Row],[CARGODEF]])),1,0)</f>
        <v>0</v>
      </c>
      <c r="P364" s="29">
        <v>69</v>
      </c>
      <c r="Q364">
        <v>1026</v>
      </c>
      <c r="R364">
        <v>120</v>
      </c>
      <c r="S364" s="26">
        <v>0</v>
      </c>
      <c r="T364" s="25">
        <f>IFERROR(PROPERTIES[[#This Row],[TE_STARTING_KN]]/(PROPERTIES[[#This Row],[WEIGHT]]*9.81),0)</f>
        <v>0</v>
      </c>
      <c r="U364" s="25">
        <v>0.23</v>
      </c>
      <c r="V364" s="22">
        <f>ROUND(IF(IFERROR(PROPERTIES[[#This Row],[TE_COEFFICIENT_CALC]],0)=0,PROPERTIES[[#This Row],[TE_COEFFICIENT_MANUAL]],PROPERTIES[[#This Row],[TE_COEFFICIENT_CALC]]),3)</f>
        <v>0.23</v>
      </c>
      <c r="W364" s="10" cm="1">
        <f t="array" ref="W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64" s="32">
        <v>0</v>
      </c>
      <c r="Y364" s="8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8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9" t="b">
        <v>0</v>
      </c>
      <c r="AY364"/>
      <c r="AZ364"/>
      <c r="BA364"/>
    </row>
    <row r="365" spans="1:53">
      <c r="A365" s="2" t="s">
        <v>385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t="s">
        <v>1773</v>
      </c>
      <c r="F365" t="str">
        <f>_xlfn.XLOOKUP(PROPERTIES[[#This Row],[COUNTRY]],COUNTRIES[COUNTRY_DESCRIPTION],COUNTRIES[COUNTRY_LABEL],"")</f>
        <v>GB</v>
      </c>
      <c r="G365" t="str" cm="1">
        <f t="array" ref="G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5" t="s">
        <v>19</v>
      </c>
      <c r="I365">
        <v>0</v>
      </c>
      <c r="J365">
        <v>8</v>
      </c>
      <c r="K365">
        <v>8</v>
      </c>
      <c r="L365" t="str" cm="1">
        <f t="array" ref="L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5">
        <f>_xlfn.XLOOKUP("LOADINGSPEEDDEF_"&amp;PROPERTIES[[#This Row],[LOADINGSPEED]],LOADINGSPEEDDEF[TYPE],LOADINGSPEEDDEF[SPEED])</f>
        <v>20</v>
      </c>
      <c r="N365" cm="1">
        <f t="array" ref="N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5">
        <f>IF(ISNUMBER(SEARCH("passenger",PROPERTIES[[#This Row],[CARGODEF]])),1,0)</f>
        <v>0</v>
      </c>
      <c r="P365" s="29">
        <v>104</v>
      </c>
      <c r="Q365">
        <v>2490</v>
      </c>
      <c r="R365">
        <v>145</v>
      </c>
      <c r="S365" s="26">
        <v>200</v>
      </c>
      <c r="T365" s="25">
        <f>IFERROR(PROPERTIES[[#This Row],[TE_STARTING_KN]]/(PROPERTIES[[#This Row],[WEIGHT]]*9.81),0)</f>
        <v>0.19603230612404923</v>
      </c>
      <c r="U365" s="25">
        <v>0.2</v>
      </c>
      <c r="V365" s="22">
        <f>ROUND(IF(IFERROR(PROPERTIES[[#This Row],[TE_COEFFICIENT_CALC]],0)=0,PROPERTIES[[#This Row],[TE_COEFFICIENT_MANUAL]],PROPERTIES[[#This Row],[TE_COEFFICIENT_CALC]]),3)</f>
        <v>0.19600000000000001</v>
      </c>
      <c r="W365" s="10" cm="1">
        <f t="array" ref="W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5" s="32">
        <v>0</v>
      </c>
      <c r="Y365" s="8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8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9" t="b">
        <v>0</v>
      </c>
      <c r="AY365"/>
      <c r="AZ365"/>
      <c r="BA365"/>
    </row>
    <row r="366" spans="1:53">
      <c r="A366" s="2" t="s">
        <v>386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t="s">
        <v>1773</v>
      </c>
      <c r="F366" t="str">
        <f>_xlfn.XLOOKUP(PROPERTIES[[#This Row],[COUNTRY]],COUNTRIES[COUNTRY_DESCRIPTION],COUNTRIES[COUNTRY_LABEL],"")</f>
        <v>GB</v>
      </c>
      <c r="G366" t="str" cm="1">
        <f t="array" ref="G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6" t="s">
        <v>19</v>
      </c>
      <c r="I366">
        <v>0</v>
      </c>
      <c r="J366">
        <v>8</v>
      </c>
      <c r="K366">
        <v>8</v>
      </c>
      <c r="L366" t="str" cm="1">
        <f t="array" ref="L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6">
        <f>_xlfn.XLOOKUP("LOADINGSPEEDDEF_"&amp;PROPERTIES[[#This Row],[LOADINGSPEED]],LOADINGSPEEDDEF[TYPE],LOADINGSPEEDDEF[SPEED])</f>
        <v>20</v>
      </c>
      <c r="N366" cm="1">
        <f t="array" ref="N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6">
        <f>IF(ISNUMBER(SEARCH("passenger",PROPERTIES[[#This Row],[CARGODEF]])),1,0)</f>
        <v>0</v>
      </c>
      <c r="P366" s="29">
        <v>111</v>
      </c>
      <c r="Q366">
        <v>1800</v>
      </c>
      <c r="R366">
        <v>105</v>
      </c>
      <c r="S366" s="26">
        <v>126.4</v>
      </c>
      <c r="T366" s="25">
        <f>IFERROR(PROPERTIES[[#This Row],[TE_STARTING_KN]]/(PROPERTIES[[#This Row],[WEIGHT]]*9.81),0)</f>
        <v>0.11607938213442801</v>
      </c>
      <c r="U366" s="25">
        <v>0.11</v>
      </c>
      <c r="V366" s="22">
        <f>ROUND(IF(IFERROR(PROPERTIES[[#This Row],[TE_COEFFICIENT_CALC]],0)=0,PROPERTIES[[#This Row],[TE_COEFFICIENT_MANUAL]],PROPERTIES[[#This Row],[TE_COEFFICIENT_CALC]]),3)</f>
        <v>0.11600000000000001</v>
      </c>
      <c r="W366" s="10" cm="1">
        <f t="array" ref="W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6" s="32">
        <v>0</v>
      </c>
      <c r="Y366" s="8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8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9" t="b">
        <v>0</v>
      </c>
      <c r="AY366"/>
      <c r="AZ366"/>
      <c r="BA366"/>
    </row>
    <row r="367" spans="1:53">
      <c r="A367" s="2" t="s">
        <v>387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t="s">
        <v>1928</v>
      </c>
      <c r="F367" t="str">
        <f>_xlfn.XLOOKUP(PROPERTIES[[#This Row],[COUNTRY]],COUNTRIES[COUNTRY_DESCRIPTION],COUNTRIES[COUNTRY_LABEL],"")</f>
        <v>US</v>
      </c>
      <c r="G367" t="str" cm="1">
        <f t="array" ref="G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7" t="s">
        <v>19</v>
      </c>
      <c r="I367">
        <v>0</v>
      </c>
      <c r="J367">
        <v>6</v>
      </c>
      <c r="K367">
        <v>6</v>
      </c>
      <c r="L367" t="str" cm="1">
        <f t="array" ref="L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7">
        <f>_xlfn.XLOOKUP("LOADINGSPEEDDEF_"&amp;PROPERTIES[[#This Row],[LOADINGSPEED]],LOADINGSPEEDDEF[TYPE],LOADINGSPEEDDEF[SPEED])</f>
        <v>20</v>
      </c>
      <c r="N367" cm="1">
        <f t="array" ref="N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7">
        <f>IF(ISNUMBER(SEARCH("passenger",PROPERTIES[[#This Row],[CARGODEF]])),1,0)</f>
        <v>0</v>
      </c>
      <c r="P367" s="29">
        <v>74</v>
      </c>
      <c r="Q367">
        <v>670</v>
      </c>
      <c r="R367">
        <v>72</v>
      </c>
      <c r="S367" s="26">
        <v>0</v>
      </c>
      <c r="T367" s="25">
        <f>IFERROR(PROPERTIES[[#This Row],[TE_STARTING_KN]]/(PROPERTIES[[#This Row],[WEIGHT]]*9.81),0)</f>
        <v>0</v>
      </c>
      <c r="U367" s="25">
        <v>0.18</v>
      </c>
      <c r="V367" s="22">
        <f>ROUND(IF(IFERROR(PROPERTIES[[#This Row],[TE_COEFFICIENT_CALC]],0)=0,PROPERTIES[[#This Row],[TE_COEFFICIENT_MANUAL]],PROPERTIES[[#This Row],[TE_COEFFICIENT_CALC]]),3)</f>
        <v>0.18</v>
      </c>
      <c r="W367" s="10" cm="1">
        <f t="array" ref="W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67" s="32">
        <v>0</v>
      </c>
      <c r="Y367" s="8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8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9" t="b">
        <v>0</v>
      </c>
      <c r="AY367"/>
      <c r="AZ367"/>
      <c r="BA367"/>
    </row>
    <row r="368" spans="1:53">
      <c r="A368" s="2" t="s">
        <v>388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t="s">
        <v>1928</v>
      </c>
      <c r="F368" t="str">
        <f>_xlfn.XLOOKUP(PROPERTIES[[#This Row],[COUNTRY]],COUNTRIES[COUNTRY_DESCRIPTION],COUNTRIES[COUNTRY_LABEL],"")</f>
        <v>US</v>
      </c>
      <c r="G368" t="str" cm="1">
        <f t="array" ref="G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8" t="s">
        <v>19</v>
      </c>
      <c r="I368">
        <v>0</v>
      </c>
      <c r="J368">
        <v>8</v>
      </c>
      <c r="K368">
        <v>4</v>
      </c>
      <c r="L368" t="str" cm="1">
        <f t="array" ref="L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8">
        <f>_xlfn.XLOOKUP("LOADINGSPEEDDEF_"&amp;PROPERTIES[[#This Row],[LOADINGSPEED]],LOADINGSPEEDDEF[TYPE],LOADINGSPEEDDEF[SPEED])</f>
        <v>20</v>
      </c>
      <c r="N368" cm="1">
        <f t="array" ref="N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8">
        <f>IF(ISNUMBER(SEARCH("passenger",PROPERTIES[[#This Row],[CARGODEF]])),1,0)</f>
        <v>0</v>
      </c>
      <c r="P368" s="29">
        <v>240</v>
      </c>
      <c r="Q368">
        <v>4440</v>
      </c>
      <c r="R368">
        <v>113</v>
      </c>
      <c r="S368" s="26">
        <v>516</v>
      </c>
      <c r="T368" s="25">
        <f>IFERROR(PROPERTIES[[#This Row],[TE_STARTING_KN]]/(PROPERTIES[[#This Row],[WEIGHT]]*9.81),0)</f>
        <v>0.21916411824668705</v>
      </c>
      <c r="U368" s="25">
        <v>0.17</v>
      </c>
      <c r="V368" s="22">
        <f>ROUND(IF(IFERROR(PROPERTIES[[#This Row],[TE_COEFFICIENT_CALC]],0)=0,PROPERTIES[[#This Row],[TE_COEFFICIENT_MANUAL]],PROPERTIES[[#This Row],[TE_COEFFICIENT_CALC]]),3)</f>
        <v>0.219</v>
      </c>
      <c r="W368" s="10" cm="1">
        <f t="array" ref="W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368" s="32">
        <v>0</v>
      </c>
      <c r="Y368" s="8">
        <v>2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8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9" t="b">
        <v>0</v>
      </c>
      <c r="AY368"/>
      <c r="AZ368"/>
      <c r="BA368"/>
    </row>
    <row r="369" spans="1:53">
      <c r="A369" s="2" t="s">
        <v>389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t="s">
        <v>1743</v>
      </c>
      <c r="F369" t="str">
        <f>_xlfn.XLOOKUP(PROPERTIES[[#This Row],[COUNTRY]],COUNTRIES[COUNTRY_DESCRIPTION],COUNTRIES[COUNTRY_LABEL],"")</f>
        <v>CL</v>
      </c>
      <c r="G369" t="str" cm="1">
        <f t="array" ref="G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9" t="s">
        <v>19</v>
      </c>
      <c r="I369">
        <v>0</v>
      </c>
      <c r="J369">
        <v>8</v>
      </c>
      <c r="K369">
        <v>8</v>
      </c>
      <c r="L369" t="str" cm="1">
        <f t="array" ref="L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9">
        <f>_xlfn.XLOOKUP("LOADINGSPEEDDEF_"&amp;PROPERTIES[[#This Row],[LOADINGSPEED]],LOADINGSPEEDDEF[TYPE],LOADINGSPEEDDEF[SPEED])</f>
        <v>20</v>
      </c>
      <c r="N369" cm="1">
        <f t="array" ref="N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9">
        <f>IF(ISNUMBER(SEARCH("passenger",PROPERTIES[[#This Row],[CARGODEF]])),1,0)</f>
        <v>0</v>
      </c>
      <c r="P369" s="29">
        <v>80</v>
      </c>
      <c r="Q369">
        <v>2450</v>
      </c>
      <c r="R369">
        <v>80</v>
      </c>
      <c r="S369" s="26">
        <v>200</v>
      </c>
      <c r="T369" s="25">
        <f>IFERROR(PROPERTIES[[#This Row],[TE_STARTING_KN]]/(PROPERTIES[[#This Row],[WEIGHT]]*9.81),0)</f>
        <v>0.254841997961264</v>
      </c>
      <c r="U369" s="25">
        <v>0.19</v>
      </c>
      <c r="V369" s="22">
        <f>ROUND(IF(IFERROR(PROPERTIES[[#This Row],[TE_COEFFICIENT_CALC]],0)=0,PROPERTIES[[#This Row],[TE_COEFFICIENT_MANUAL]],PROPERTIES[[#This Row],[TE_COEFFICIENT_CALC]]),3)</f>
        <v>0.255</v>
      </c>
      <c r="W369" s="10" cm="1">
        <f t="array" ref="W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9" s="32">
        <v>0</v>
      </c>
      <c r="Y369" s="8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8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9" t="b">
        <v>0</v>
      </c>
      <c r="AY369"/>
      <c r="AZ369"/>
      <c r="BA369"/>
    </row>
    <row r="370" spans="1:53">
      <c r="A370" s="2" t="s">
        <v>390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t="s">
        <v>1806</v>
      </c>
      <c r="F370" t="str">
        <f>_xlfn.XLOOKUP(PROPERTIES[[#This Row],[COUNTRY]],COUNTRIES[COUNTRY_DESCRIPTION],COUNTRIES[COUNTRY_LABEL],"")</f>
        <v>IT</v>
      </c>
      <c r="G370" t="str" cm="1">
        <f t="array" ref="G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0" t="s">
        <v>19</v>
      </c>
      <c r="I370">
        <v>0</v>
      </c>
      <c r="J370">
        <v>8</v>
      </c>
      <c r="K370">
        <v>8</v>
      </c>
      <c r="L370" t="str" cm="1">
        <f t="array" ref="L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0">
        <f>_xlfn.XLOOKUP("LOADINGSPEEDDEF_"&amp;PROPERTIES[[#This Row],[LOADINGSPEED]],LOADINGSPEEDDEF[TYPE],LOADINGSPEEDDEF[SPEED])</f>
        <v>20</v>
      </c>
      <c r="N370" cm="1">
        <f t="array" ref="N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0">
        <f>IF(ISNUMBER(SEARCH("passenger",PROPERTIES[[#This Row],[CARGODEF]])),1,0)</f>
        <v>0</v>
      </c>
      <c r="P370" s="29">
        <v>130</v>
      </c>
      <c r="Q370">
        <v>3800</v>
      </c>
      <c r="R370">
        <v>130</v>
      </c>
      <c r="S370" s="26">
        <v>180</v>
      </c>
      <c r="T370" s="25">
        <f>IFERROR(PROPERTIES[[#This Row],[TE_STARTING_KN]]/(PROPERTIES[[#This Row],[WEIGHT]]*9.81),0)</f>
        <v>0.14114326040931546</v>
      </c>
      <c r="U370" s="25">
        <v>0.1</v>
      </c>
      <c r="V370" s="22">
        <f>ROUND(IF(IFERROR(PROPERTIES[[#This Row],[TE_COEFFICIENT_CALC]],0)=0,PROPERTIES[[#This Row],[TE_COEFFICIENT_MANUAL]],PROPERTIES[[#This Row],[TE_COEFFICIENT_CALC]]),3)</f>
        <v>0.14099999999999999</v>
      </c>
      <c r="W370" s="10" cm="1">
        <f t="array" ref="W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370" s="32">
        <v>0</v>
      </c>
      <c r="Y370" s="8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8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9" t="b">
        <v>0</v>
      </c>
      <c r="AY370"/>
      <c r="AZ370"/>
      <c r="BA370"/>
    </row>
    <row r="371" spans="1:53">
      <c r="A371" s="2" t="s">
        <v>391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t="s">
        <v>1942</v>
      </c>
      <c r="F371" t="str">
        <f>_xlfn.XLOOKUP(PROPERTIES[[#This Row],[COUNTRY]],COUNTRIES[COUNTRY_DESCRIPTION],COUNTRIES[COUNTRY_LABEL],"")</f>
        <v>ZA</v>
      </c>
      <c r="G371" t="str" cm="1">
        <f t="array" ref="G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1" t="s">
        <v>19</v>
      </c>
      <c r="I371">
        <v>0</v>
      </c>
      <c r="J371">
        <v>8</v>
      </c>
      <c r="K371">
        <v>8</v>
      </c>
      <c r="L371" t="str" cm="1">
        <f t="array" ref="L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1">
        <f>_xlfn.XLOOKUP("LOADINGSPEEDDEF_"&amp;PROPERTIES[[#This Row],[LOADINGSPEED]],LOADINGSPEEDDEF[TYPE],LOADINGSPEEDDEF[SPEED])</f>
        <v>20</v>
      </c>
      <c r="N371" cm="1">
        <f t="array" ref="N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1">
        <f>IF(ISNUMBER(SEARCH("passenger",PROPERTIES[[#This Row],[CARGODEF]])),1,0)</f>
        <v>0</v>
      </c>
      <c r="P371" s="29">
        <v>68</v>
      </c>
      <c r="Q371">
        <v>1202</v>
      </c>
      <c r="R371">
        <v>40</v>
      </c>
      <c r="S371" s="26">
        <v>176</v>
      </c>
      <c r="T371" s="25">
        <f>IFERROR(PROPERTIES[[#This Row],[TE_STARTING_KN]]/(PROPERTIES[[#This Row],[WEIGHT]]*9.81),0)</f>
        <v>0.26383642141872038</v>
      </c>
      <c r="U371" s="25">
        <v>0.11</v>
      </c>
      <c r="V371" s="22">
        <f>ROUND(IF(IFERROR(PROPERTIES[[#This Row],[TE_COEFFICIENT_CALC]],0)=0,PROPERTIES[[#This Row],[TE_COEFFICIENT_MANUAL]],PROPERTIES[[#This Row],[TE_COEFFICIENT_CALC]]),3)</f>
        <v>0.26400000000000001</v>
      </c>
      <c r="W371" s="10" cm="1">
        <f t="array" ref="W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71" s="32">
        <v>0</v>
      </c>
      <c r="Y371" s="8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8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9" t="b">
        <v>0</v>
      </c>
      <c r="AY371"/>
      <c r="AZ371"/>
      <c r="BA371"/>
    </row>
    <row r="372" spans="1:53">
      <c r="A372" s="2" t="s">
        <v>392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t="s">
        <v>1875</v>
      </c>
      <c r="F372" t="str">
        <f>_xlfn.XLOOKUP(PROPERTIES[[#This Row],[COUNTRY]],COUNTRIES[COUNTRY_DESCRIPTION],COUNTRIES[COUNTRY_LABEL],"")</f>
        <v>PL</v>
      </c>
      <c r="G372" t="str" cm="1">
        <f t="array" ref="G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2" t="s">
        <v>19</v>
      </c>
      <c r="I372">
        <v>0</v>
      </c>
      <c r="J372">
        <v>7</v>
      </c>
      <c r="K372">
        <v>7</v>
      </c>
      <c r="L372" t="str" cm="1">
        <f t="array" ref="L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2">
        <f>_xlfn.XLOOKUP("LOADINGSPEEDDEF_"&amp;PROPERTIES[[#This Row],[LOADINGSPEED]],LOADINGSPEEDDEF[TYPE],LOADINGSPEEDDEF[SPEED])</f>
        <v>20</v>
      </c>
      <c r="N372" cm="1">
        <f t="array" ref="N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2">
        <f>IF(ISNUMBER(SEARCH("passenger",PROPERTIES[[#This Row],[CARGODEF]])),1,0)</f>
        <v>0</v>
      </c>
      <c r="P372" s="29">
        <v>81</v>
      </c>
      <c r="Q372">
        <v>1500</v>
      </c>
      <c r="R372">
        <v>126</v>
      </c>
      <c r="S372" s="26">
        <v>280</v>
      </c>
      <c r="T372" s="25">
        <f>IFERROR(PROPERTIES[[#This Row],[TE_STARTING_KN]]/(PROPERTIES[[#This Row],[WEIGHT]]*9.81),0)</f>
        <v>0.35237412063779716</v>
      </c>
      <c r="U372" s="25">
        <v>0.35</v>
      </c>
      <c r="V372" s="22">
        <f>ROUND(IF(IFERROR(PROPERTIES[[#This Row],[TE_COEFFICIENT_CALC]],0)=0,PROPERTIES[[#This Row],[TE_COEFFICIENT_MANUAL]],PROPERTIES[[#This Row],[TE_COEFFICIENT_CALC]]),3)</f>
        <v>0.35199999999999998</v>
      </c>
      <c r="W372" s="10" cm="1">
        <f t="array" ref="W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372" s="32">
        <v>0</v>
      </c>
      <c r="Y372" s="8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8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9" t="b">
        <v>0</v>
      </c>
      <c r="AY372"/>
      <c r="AZ372"/>
      <c r="BA372"/>
    </row>
    <row r="373" spans="1:53">
      <c r="A373" s="2" t="s">
        <v>393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t="s">
        <v>1875</v>
      </c>
      <c r="F373" t="str">
        <f>_xlfn.XLOOKUP(PROPERTIES[[#This Row],[COUNTRY]],COUNTRIES[COUNTRY_DESCRIPTION],COUNTRIES[COUNTRY_LABEL],"")</f>
        <v>PL</v>
      </c>
      <c r="G373" t="str" cm="1">
        <f t="array" ref="G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3" t="s">
        <v>19</v>
      </c>
      <c r="I373">
        <v>0</v>
      </c>
      <c r="J373">
        <v>7</v>
      </c>
      <c r="K373">
        <v>14</v>
      </c>
      <c r="L373" t="str" cm="1">
        <f t="array" ref="L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3">
        <f>_xlfn.XLOOKUP("LOADINGSPEEDDEF_"&amp;PROPERTIES[[#This Row],[LOADINGSPEED]],LOADINGSPEEDDEF[TYPE],LOADINGSPEEDDEF[SPEED])</f>
        <v>20</v>
      </c>
      <c r="N373" cm="1">
        <f t="array" ref="N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3">
        <f>IF(ISNUMBER(SEARCH("passenger",PROPERTIES[[#This Row],[CARGODEF]])),1,0)</f>
        <v>0</v>
      </c>
      <c r="P373" s="29">
        <v>167</v>
      </c>
      <c r="Q373">
        <v>5400</v>
      </c>
      <c r="R373">
        <v>125</v>
      </c>
      <c r="S373" s="26">
        <v>500</v>
      </c>
      <c r="T373" s="25">
        <f>IFERROR(PROPERTIES[[#This Row],[TE_STARTING_KN]]/(PROPERTIES[[#This Row],[WEIGHT]]*9.81),0)</f>
        <v>0.30519999755840005</v>
      </c>
      <c r="U373" s="25">
        <v>0.6</v>
      </c>
      <c r="V373" s="22">
        <f>ROUND(IF(IFERROR(PROPERTIES[[#This Row],[TE_COEFFICIENT_CALC]],0)=0,PROPERTIES[[#This Row],[TE_COEFFICIENT_MANUAL]],PROPERTIES[[#This Row],[TE_COEFFICIENT_CALC]]),3)</f>
        <v>0.30499999999999999</v>
      </c>
      <c r="W373" s="10" cm="1">
        <f t="array" ref="W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3" s="32">
        <v>0</v>
      </c>
      <c r="Y373" s="8">
        <v>7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8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9" t="b">
        <v>0</v>
      </c>
      <c r="AY373"/>
      <c r="AZ373"/>
      <c r="BA373"/>
    </row>
    <row r="374" spans="1:53">
      <c r="A374" s="2" t="s">
        <v>394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t="s">
        <v>1875</v>
      </c>
      <c r="F374" t="str">
        <f>_xlfn.XLOOKUP(PROPERTIES[[#This Row],[COUNTRY]],COUNTRIES[COUNTRY_DESCRIPTION],COUNTRIES[COUNTRY_LABEL],"")</f>
        <v>PL</v>
      </c>
      <c r="G374" t="str" cm="1">
        <f t="array" ref="G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4" t="s">
        <v>19</v>
      </c>
      <c r="I374">
        <v>0</v>
      </c>
      <c r="J374">
        <v>7</v>
      </c>
      <c r="K374">
        <v>7</v>
      </c>
      <c r="L374" t="str" cm="1">
        <f t="array" ref="L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4">
        <f>_xlfn.XLOOKUP("LOADINGSPEEDDEF_"&amp;PROPERTIES[[#This Row],[LOADINGSPEED]],LOADINGSPEEDDEF[TYPE],LOADINGSPEEDDEF[SPEED])</f>
        <v>20</v>
      </c>
      <c r="N374" t="str" cm="1">
        <f t="array" ref="N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4">
        <f>IF(ISNUMBER(SEARCH("passenger",PROPERTIES[[#This Row],[CARGODEF]])),1,0)</f>
        <v>0</v>
      </c>
      <c r="P374" s="29">
        <v>83.5</v>
      </c>
      <c r="Q374">
        <v>3916</v>
      </c>
      <c r="R374">
        <v>160</v>
      </c>
      <c r="S374" s="26">
        <v>195</v>
      </c>
      <c r="T374" s="25">
        <f>IFERROR(PROPERTIES[[#This Row],[TE_STARTING_KN]]/(PROPERTIES[[#This Row],[WEIGHT]]*9.81),0)</f>
        <v>0.23805599809555203</v>
      </c>
      <c r="U374" s="25">
        <v>0.23</v>
      </c>
      <c r="V374" s="22">
        <f>ROUND(IF(IFERROR(PROPERTIES[[#This Row],[TE_COEFFICIENT_CALC]],0)=0,PROPERTIES[[#This Row],[TE_COEFFICIENT_MANUAL]],PROPERTIES[[#This Row],[TE_COEFFICIENT_CALC]]),3)</f>
        <v>0.23799999999999999</v>
      </c>
      <c r="W374" s="10" cm="1">
        <f t="array" ref="W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4" s="32">
        <v>0</v>
      </c>
      <c r="Y374" s="8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8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9" t="b">
        <v>0</v>
      </c>
      <c r="AY374"/>
      <c r="AZ374"/>
      <c r="BA374"/>
    </row>
    <row r="375" spans="1:53">
      <c r="A375" s="2" t="s">
        <v>395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t="s">
        <v>1898</v>
      </c>
      <c r="F375" t="str">
        <f>_xlfn.XLOOKUP(PROPERTIES[[#This Row],[COUNTRY]],COUNTRIES[COUNTRY_DESCRIPTION],COUNTRIES[COUNTRY_LABEL],"")</f>
        <v>SK</v>
      </c>
      <c r="G375" t="str" cm="1">
        <f t="array" ref="G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5" t="s">
        <v>19</v>
      </c>
      <c r="I375">
        <v>0</v>
      </c>
      <c r="J375">
        <v>7</v>
      </c>
      <c r="K375">
        <v>7</v>
      </c>
      <c r="L375" t="str" cm="1">
        <f t="array" ref="L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5">
        <f>_xlfn.XLOOKUP("LOADINGSPEEDDEF_"&amp;PROPERTIES[[#This Row],[LOADINGSPEED]],LOADINGSPEEDDEF[TYPE],LOADINGSPEEDDEF[SPEED])</f>
        <v>20</v>
      </c>
      <c r="N375" t="str" cm="1">
        <f t="array" ref="N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5">
        <f>IF(ISNUMBER(SEARCH("passenger",PROPERTIES[[#This Row],[CARGODEF]])),1,0)</f>
        <v>0</v>
      </c>
      <c r="P375" s="29">
        <v>85</v>
      </c>
      <c r="Q375">
        <v>4872</v>
      </c>
      <c r="R375">
        <v>140</v>
      </c>
      <c r="S375" s="26">
        <v>258</v>
      </c>
      <c r="T375" s="25">
        <f>IFERROR(PROPERTIES[[#This Row],[TE_STARTING_KN]]/(PROPERTIES[[#This Row],[WEIGHT]]*9.81),0)</f>
        <v>0.30940816693649936</v>
      </c>
      <c r="U375" s="25">
        <v>0.3</v>
      </c>
      <c r="V375" s="22">
        <f>ROUND(IF(IFERROR(PROPERTIES[[#This Row],[TE_COEFFICIENT_CALC]],0)=0,PROPERTIES[[#This Row],[TE_COEFFICIENT_MANUAL]],PROPERTIES[[#This Row],[TE_COEFFICIENT_CALC]]),3)</f>
        <v>0.309</v>
      </c>
      <c r="W375" s="10" cm="1">
        <f t="array" ref="W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5" s="32">
        <v>0</v>
      </c>
      <c r="Y375" s="8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8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9" t="b">
        <v>0</v>
      </c>
      <c r="AY375"/>
      <c r="AZ375"/>
      <c r="BA375"/>
    </row>
    <row r="376" spans="1:53">
      <c r="A376" s="2" t="s">
        <v>396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t="s">
        <v>1806</v>
      </c>
      <c r="F376" t="str">
        <f>_xlfn.XLOOKUP(PROPERTIES[[#This Row],[COUNTRY]],COUNTRIES[COUNTRY_DESCRIPTION],COUNTRIES[COUNTRY_LABEL],"")</f>
        <v>IT</v>
      </c>
      <c r="G376" t="str" cm="1">
        <f t="array" ref="G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6" t="s">
        <v>19</v>
      </c>
      <c r="I376">
        <v>0</v>
      </c>
      <c r="J376">
        <v>5</v>
      </c>
      <c r="K376">
        <v>10</v>
      </c>
      <c r="L376" t="str" cm="1">
        <f t="array" ref="L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6">
        <f>_xlfn.XLOOKUP("LOADINGSPEEDDEF_"&amp;PROPERTIES[[#This Row],[LOADINGSPEED]],LOADINGSPEEDDEF[TYPE],LOADINGSPEEDDEF[SPEED])</f>
        <v>20</v>
      </c>
      <c r="N376" cm="1">
        <f t="array" ref="N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6">
        <f>IF(ISNUMBER(SEARCH("passenger",PROPERTIES[[#This Row],[CARGODEF]])),1,0)</f>
        <v>0</v>
      </c>
      <c r="P376" s="29">
        <v>110</v>
      </c>
      <c r="Q376">
        <v>5070</v>
      </c>
      <c r="R376">
        <v>140</v>
      </c>
      <c r="S376" s="26">
        <v>233</v>
      </c>
      <c r="T376" s="25">
        <f>IFERROR(PROPERTIES[[#This Row],[TE_STARTING_KN]]/(PROPERTIES[[#This Row],[WEIGHT]]*9.81),0)</f>
        <v>0.21592067463627093</v>
      </c>
      <c r="U376" s="25">
        <v>0.21</v>
      </c>
      <c r="V376" s="22">
        <f>ROUND(IF(IFERROR(PROPERTIES[[#This Row],[TE_COEFFICIENT_CALC]],0)=0,PROPERTIES[[#This Row],[TE_COEFFICIENT_MANUAL]],PROPERTIES[[#This Row],[TE_COEFFICIENT_CALC]]),3)</f>
        <v>0.216</v>
      </c>
      <c r="W376" s="10" cm="1">
        <f t="array" ref="W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76" s="32">
        <v>0</v>
      </c>
      <c r="Y376" s="8">
        <v>5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8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9" t="b">
        <v>0</v>
      </c>
      <c r="AY376"/>
      <c r="AZ376"/>
      <c r="BA376"/>
    </row>
    <row r="377" spans="1:53">
      <c r="A377" s="2" t="s">
        <v>397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t="s">
        <v>1806</v>
      </c>
      <c r="F377" t="str">
        <f>_xlfn.XLOOKUP(PROPERTIES[[#This Row],[COUNTRY]],COUNTRIES[COUNTRY_DESCRIPTION],COUNTRIES[COUNTRY_LABEL],"")</f>
        <v>IT</v>
      </c>
      <c r="G377" t="str" cm="1">
        <f t="array" ref="G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7" t="s">
        <v>19</v>
      </c>
      <c r="I377">
        <v>0</v>
      </c>
      <c r="J377">
        <v>8</v>
      </c>
      <c r="K377">
        <v>8</v>
      </c>
      <c r="L377" t="str" cm="1">
        <f t="array" ref="L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7">
        <f>_xlfn.XLOOKUP("LOADINGSPEEDDEF_"&amp;PROPERTIES[[#This Row],[LOADINGSPEED]],LOADINGSPEEDDEF[TYPE],LOADINGSPEEDDEF[SPEED])</f>
        <v>20</v>
      </c>
      <c r="N377" cm="1">
        <f t="array" ref="N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7">
        <f>IF(ISNUMBER(SEARCH("passenger",PROPERTIES[[#This Row],[CARGODEF]])),1,0)</f>
        <v>0</v>
      </c>
      <c r="P377" s="29">
        <v>65</v>
      </c>
      <c r="Q377">
        <v>2000</v>
      </c>
      <c r="R377">
        <v>120</v>
      </c>
      <c r="S377" s="26">
        <v>168</v>
      </c>
      <c r="T377" s="25">
        <f>IFERROR(PROPERTIES[[#This Row],[TE_STARTING_KN]]/(PROPERTIES[[#This Row],[WEIGHT]]*9.81),0)</f>
        <v>0.26346741943072222</v>
      </c>
      <c r="U377" s="25">
        <v>0.26</v>
      </c>
      <c r="V377" s="22">
        <f>ROUND(IF(IFERROR(PROPERTIES[[#This Row],[TE_COEFFICIENT_CALC]],0)=0,PROPERTIES[[#This Row],[TE_COEFFICIENT_MANUAL]],PROPERTIES[[#This Row],[TE_COEFFICIENT_CALC]]),3)</f>
        <v>0.26300000000000001</v>
      </c>
      <c r="W377" s="10" cm="1">
        <f t="array" ref="W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377" s="32">
        <v>0</v>
      </c>
      <c r="Y377" s="8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8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9" t="b">
        <v>0</v>
      </c>
      <c r="AY377"/>
      <c r="AZ377"/>
      <c r="BA377"/>
    </row>
    <row r="378" spans="1:53">
      <c r="A378" s="2" t="s">
        <v>398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t="s">
        <v>1806</v>
      </c>
      <c r="F378" t="str">
        <f>_xlfn.XLOOKUP(PROPERTIES[[#This Row],[COUNTRY]],COUNTRIES[COUNTRY_DESCRIPTION],COUNTRIES[COUNTRY_LABEL],"")</f>
        <v>IT</v>
      </c>
      <c r="G378" t="str" cm="1">
        <f t="array" ref="G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8" t="s">
        <v>19</v>
      </c>
      <c r="I378">
        <v>0</v>
      </c>
      <c r="J378">
        <v>8</v>
      </c>
      <c r="K378">
        <v>8</v>
      </c>
      <c r="L378" t="str" cm="1">
        <f t="array" ref="L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8">
        <f>_xlfn.XLOOKUP("LOADINGSPEEDDEF_"&amp;PROPERTIES[[#This Row],[LOADINGSPEED]],LOADINGSPEEDDEF[TYPE],LOADINGSPEEDDEF[SPEED])</f>
        <v>20</v>
      </c>
      <c r="N378" cm="1">
        <f t="array" ref="N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8">
        <f>IF(ISNUMBER(SEARCH("passenger",PROPERTIES[[#This Row],[CARGODEF]])),1,0)</f>
        <v>0</v>
      </c>
      <c r="P378" s="29">
        <v>83</v>
      </c>
      <c r="Q378">
        <v>5729</v>
      </c>
      <c r="R378">
        <v>200</v>
      </c>
      <c r="S378" s="26">
        <v>201</v>
      </c>
      <c r="T378" s="25">
        <f>IFERROR(PROPERTIES[[#This Row],[TE_STARTING_KN]]/(PROPERTIES[[#This Row],[WEIGHT]]*9.81),0)</f>
        <v>0.24685899561548946</v>
      </c>
      <c r="U378" s="25">
        <v>0.24</v>
      </c>
      <c r="V378" s="22">
        <f>ROUND(IF(IFERROR(PROPERTIES[[#This Row],[TE_COEFFICIENT_CALC]],0)=0,PROPERTIES[[#This Row],[TE_COEFFICIENT_MANUAL]],PROPERTIES[[#This Row],[TE_COEFFICIENT_CALC]]),3)</f>
        <v>0.247</v>
      </c>
      <c r="W378" s="10" cm="1">
        <f t="array" ref="W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8" s="32">
        <v>0</v>
      </c>
      <c r="Y378" s="8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8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9" t="b">
        <v>0</v>
      </c>
      <c r="AY378"/>
      <c r="AZ378"/>
      <c r="BA378"/>
    </row>
    <row r="379" spans="1:53">
      <c r="A379" s="2" t="s">
        <v>399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t="s">
        <v>1806</v>
      </c>
      <c r="F379" t="str">
        <f>_xlfn.XLOOKUP(PROPERTIES[[#This Row],[COUNTRY]],COUNTRIES[COUNTRY_DESCRIPTION],COUNTRIES[COUNTRY_LABEL],"")</f>
        <v>IT</v>
      </c>
      <c r="G379" t="str" cm="1">
        <f t="array" ref="G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9" t="s">
        <v>19</v>
      </c>
      <c r="I379">
        <v>0</v>
      </c>
      <c r="J379">
        <v>8</v>
      </c>
      <c r="K379">
        <v>8</v>
      </c>
      <c r="L379" t="str" cm="1">
        <f t="array" ref="L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9">
        <f>_xlfn.XLOOKUP("LOADINGSPEEDDEF_"&amp;PROPERTIES[[#This Row],[LOADINGSPEED]],LOADINGSPEEDDEF[TYPE],LOADINGSPEEDDEF[SPEED])</f>
        <v>20</v>
      </c>
      <c r="N379" t="str" cm="1">
        <f t="array" ref="N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9">
        <f>IF(ISNUMBER(SEARCH("passenger",PROPERTIES[[#This Row],[CARGODEF]])),1,0)</f>
        <v>0</v>
      </c>
      <c r="P379" s="29">
        <v>103</v>
      </c>
      <c r="Q379">
        <v>5600</v>
      </c>
      <c r="R379">
        <v>130</v>
      </c>
      <c r="S379" s="26">
        <v>308</v>
      </c>
      <c r="T379" s="25">
        <f>IFERROR(PROPERTIES[[#This Row],[TE_STARTING_KN]]/(PROPERTIES[[#This Row],[WEIGHT]]*9.81),0)</f>
        <v>0.30482071989153131</v>
      </c>
      <c r="U379" s="25">
        <v>0.27</v>
      </c>
      <c r="V379" s="22">
        <f>ROUND(IF(IFERROR(PROPERTIES[[#This Row],[TE_COEFFICIENT_CALC]],0)=0,PROPERTIES[[#This Row],[TE_COEFFICIENT_MANUAL]],PROPERTIES[[#This Row],[TE_COEFFICIENT_CALC]]),3)</f>
        <v>0.30499999999999999</v>
      </c>
      <c r="W379" s="10" cm="1">
        <f t="array" ref="W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79" s="32">
        <v>0</v>
      </c>
      <c r="Y379" s="8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8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9" t="b">
        <v>0</v>
      </c>
      <c r="AY379"/>
      <c r="AZ379"/>
      <c r="BA379"/>
    </row>
    <row r="380" spans="1:53">
      <c r="A380" s="2" t="s">
        <v>400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t="s">
        <v>1717</v>
      </c>
      <c r="F380" t="str">
        <f>_xlfn.XLOOKUP(PROPERTIES[[#This Row],[COUNTRY]],COUNTRIES[COUNTRY_DESCRIPTION],COUNTRIES[COUNTRY_LABEL],"")</f>
        <v>BE</v>
      </c>
      <c r="G380" t="str" cm="1">
        <f t="array" ref="G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0" t="s">
        <v>19</v>
      </c>
      <c r="I380">
        <v>0</v>
      </c>
      <c r="J380">
        <v>8</v>
      </c>
      <c r="K380">
        <v>8</v>
      </c>
      <c r="L380" t="str" cm="1">
        <f t="array" ref="L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0">
        <f>_xlfn.XLOOKUP("LOADINGSPEEDDEF_"&amp;PROPERTIES[[#This Row],[LOADINGSPEED]],LOADINGSPEEDDEF[TYPE],LOADINGSPEEDDEF[SPEED])</f>
        <v>20</v>
      </c>
      <c r="N380" cm="1">
        <f t="array" ref="N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0">
        <f>IF(ISNUMBER(SEARCH("passenger",PROPERTIES[[#This Row],[CARGODEF]])),1,0)</f>
        <v>0</v>
      </c>
      <c r="P380" s="29">
        <v>85</v>
      </c>
      <c r="Q380">
        <v>2520</v>
      </c>
      <c r="R380">
        <v>130</v>
      </c>
      <c r="S380" s="26">
        <v>196</v>
      </c>
      <c r="T380" s="25">
        <f>IFERROR(PROPERTIES[[#This Row],[TE_STARTING_KN]]/(PROPERTIES[[#This Row],[WEIGHT]]*9.81),0)</f>
        <v>0.23505426635485999</v>
      </c>
      <c r="U380" s="25">
        <v>0.23</v>
      </c>
      <c r="V380" s="22">
        <f>ROUND(IF(IFERROR(PROPERTIES[[#This Row],[TE_COEFFICIENT_CALC]],0)=0,PROPERTIES[[#This Row],[TE_COEFFICIENT_MANUAL]],PROPERTIES[[#This Row],[TE_COEFFICIENT_CALC]]),3)</f>
        <v>0.23499999999999999</v>
      </c>
      <c r="W380" s="10" cm="1">
        <f t="array" ref="W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80" s="32">
        <v>0</v>
      </c>
      <c r="Y380" s="8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8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9" t="b">
        <v>0</v>
      </c>
      <c r="AY380"/>
      <c r="AZ380"/>
      <c r="BA380"/>
    </row>
    <row r="381" spans="1:53">
      <c r="A381" s="2" t="s">
        <v>401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t="s">
        <v>1765</v>
      </c>
      <c r="F381" t="str">
        <f>_xlfn.XLOOKUP(PROPERTIES[[#This Row],[COUNTRY]],COUNTRIES[COUNTRY_DESCRIPTION],COUNTRIES[COUNTRY_LABEL],"")</f>
        <v>ES</v>
      </c>
      <c r="G381" t="str" cm="1">
        <f t="array" ref="G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1" t="s">
        <v>19</v>
      </c>
      <c r="I381">
        <v>0</v>
      </c>
      <c r="J381">
        <v>8</v>
      </c>
      <c r="K381">
        <v>8</v>
      </c>
      <c r="L381" t="str" cm="1">
        <f t="array" ref="L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1">
        <f>_xlfn.XLOOKUP("LOADINGSPEEDDEF_"&amp;PROPERTIES[[#This Row],[LOADINGSPEED]],LOADINGSPEEDDEF[TYPE],LOADINGSPEEDDEF[SPEED])</f>
        <v>20</v>
      </c>
      <c r="N381" cm="1">
        <f t="array" ref="N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1">
        <f>IF(ISNUMBER(SEARCH("passenger",PROPERTIES[[#This Row],[CARGODEF]])),1,0)</f>
        <v>0</v>
      </c>
      <c r="P381" s="29">
        <v>124</v>
      </c>
      <c r="Q381">
        <v>6440</v>
      </c>
      <c r="R381">
        <v>160</v>
      </c>
      <c r="S381" s="26">
        <v>410</v>
      </c>
      <c r="T381" s="25">
        <f>IFERROR(PROPERTIES[[#This Row],[TE_STARTING_KN]]/(PROPERTIES[[#This Row],[WEIGHT]]*9.81),0)</f>
        <v>0.33704909407780076</v>
      </c>
      <c r="U381" s="25">
        <v>0.16</v>
      </c>
      <c r="V381" s="22">
        <f>ROUND(IF(IFERROR(PROPERTIES[[#This Row],[TE_COEFFICIENT_CALC]],0)=0,PROPERTIES[[#This Row],[TE_COEFFICIENT_MANUAL]],PROPERTIES[[#This Row],[TE_COEFFICIENT_CALC]]),3)</f>
        <v>0.33700000000000002</v>
      </c>
      <c r="W381" s="10" cm="1">
        <f t="array" ref="W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1" s="32">
        <v>0</v>
      </c>
      <c r="Y381" s="8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8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9" t="b">
        <v>0</v>
      </c>
      <c r="AY381"/>
      <c r="AZ381"/>
      <c r="BA381"/>
    </row>
    <row r="382" spans="1:53">
      <c r="A382" s="2" t="s">
        <v>402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t="s">
        <v>1743</v>
      </c>
      <c r="F382" t="str">
        <f>_xlfn.XLOOKUP(PROPERTIES[[#This Row],[COUNTRY]],COUNTRIES[COUNTRY_DESCRIPTION],COUNTRIES[COUNTRY_LABEL],"")</f>
        <v>CL</v>
      </c>
      <c r="G382" t="str" cm="1">
        <f t="array" ref="G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2" t="s">
        <v>19</v>
      </c>
      <c r="I382">
        <v>0</v>
      </c>
      <c r="J382">
        <v>8</v>
      </c>
      <c r="K382">
        <v>9</v>
      </c>
      <c r="L382" t="str" cm="1">
        <f t="array" ref="L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2">
        <f>_xlfn.XLOOKUP("LOADINGSPEEDDEF_"&amp;PROPERTIES[[#This Row],[LOADINGSPEED]],LOADINGSPEEDDEF[TYPE],LOADINGSPEEDDEF[SPEED])</f>
        <v>20</v>
      </c>
      <c r="N382" cm="1">
        <f t="array" ref="N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2">
        <f>IF(ISNUMBER(SEARCH("passenger",PROPERTIES[[#This Row],[CARGODEF]])),1,0)</f>
        <v>0</v>
      </c>
      <c r="P382" s="29">
        <v>116</v>
      </c>
      <c r="Q382">
        <v>3100</v>
      </c>
      <c r="R382">
        <v>100</v>
      </c>
      <c r="S382" s="26">
        <v>315</v>
      </c>
      <c r="T382" s="25">
        <f>IFERROR(PROPERTIES[[#This Row],[TE_STARTING_KN]]/(PROPERTIES[[#This Row],[WEIGHT]]*9.81),0)</f>
        <v>0.27681113571654536</v>
      </c>
      <c r="U382" s="25">
        <v>0.2</v>
      </c>
      <c r="V382" s="22">
        <f>ROUND(IF(IFERROR(PROPERTIES[[#This Row],[TE_COEFFICIENT_CALC]],0)=0,PROPERTIES[[#This Row],[TE_COEFFICIENT_MANUAL]],PROPERTIES[[#This Row],[TE_COEFFICIENT_CALC]]),3)</f>
        <v>0.27700000000000002</v>
      </c>
      <c r="W382" s="10" cm="1">
        <f t="array" ref="W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2" s="32">
        <v>0</v>
      </c>
      <c r="Y382" s="8">
        <v>1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8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9" t="b">
        <v>0</v>
      </c>
      <c r="AY382"/>
      <c r="AZ382"/>
      <c r="BA382"/>
    </row>
    <row r="383" spans="1:53">
      <c r="A383" s="2" t="s">
        <v>403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t="s">
        <v>1743</v>
      </c>
      <c r="F383" t="str">
        <f>_xlfn.XLOOKUP(PROPERTIES[[#This Row],[COUNTRY]],COUNTRIES[COUNTRY_DESCRIPTION],COUNTRIES[COUNTRY_LABEL],"")</f>
        <v>CL</v>
      </c>
      <c r="G383" t="str" cm="1">
        <f t="array" ref="G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3" t="s">
        <v>19</v>
      </c>
      <c r="I383">
        <v>0</v>
      </c>
      <c r="J383">
        <v>6</v>
      </c>
      <c r="K383">
        <v>6</v>
      </c>
      <c r="L383" t="str" cm="1">
        <f t="array" ref="L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3">
        <f>_xlfn.XLOOKUP("LOADINGSPEEDDEF_"&amp;PROPERTIES[[#This Row],[LOADINGSPEED]],LOADINGSPEEDDEF[TYPE],LOADINGSPEEDDEF[SPEED])</f>
        <v>20</v>
      </c>
      <c r="N383" cm="1">
        <f t="array" ref="N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3">
        <f>IF(ISNUMBER(SEARCH("passenger",PROPERTIES[[#This Row],[CARGODEF]])),1,0)</f>
        <v>0</v>
      </c>
      <c r="P383" s="29">
        <v>79</v>
      </c>
      <c r="Q383">
        <v>1640</v>
      </c>
      <c r="R383">
        <v>90</v>
      </c>
      <c r="S383" s="26">
        <v>0</v>
      </c>
      <c r="T383" s="25">
        <f>IFERROR(PROPERTIES[[#This Row],[TE_STARTING_KN]]/(PROPERTIES[[#This Row],[WEIGHT]]*9.81),0)</f>
        <v>0</v>
      </c>
      <c r="U383" s="25">
        <v>0.24</v>
      </c>
      <c r="V383" s="22">
        <f>ROUND(IF(IFERROR(PROPERTIES[[#This Row],[TE_COEFFICIENT_CALC]],0)=0,PROPERTIES[[#This Row],[TE_COEFFICIENT_MANUAL]],PROPERTIES[[#This Row],[TE_COEFFICIENT_CALC]]),3)</f>
        <v>0.24</v>
      </c>
      <c r="W383" s="10" cm="1">
        <f t="array" ref="W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3" s="32">
        <v>0</v>
      </c>
      <c r="Y383" s="8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8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9" t="b">
        <v>0</v>
      </c>
      <c r="AY383"/>
      <c r="AZ383"/>
      <c r="BA383"/>
    </row>
    <row r="384" spans="1:53">
      <c r="A384" s="2" t="s">
        <v>404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t="s">
        <v>1833</v>
      </c>
      <c r="F384" t="str">
        <f>_xlfn.XLOOKUP(PROPERTIES[[#This Row],[COUNTRY]],COUNTRIES[COUNTRY_DESCRIPTION],COUNTRIES[COUNTRY_LABEL],"")</f>
        <v>MA</v>
      </c>
      <c r="G384" t="str" cm="1">
        <f t="array" ref="G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4" t="s">
        <v>19</v>
      </c>
      <c r="I384">
        <v>0</v>
      </c>
      <c r="J384">
        <v>6</v>
      </c>
      <c r="K384">
        <v>6</v>
      </c>
      <c r="L384" t="str" cm="1">
        <f t="array" ref="L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4">
        <f>_xlfn.XLOOKUP("LOADINGSPEEDDEF_"&amp;PROPERTIES[[#This Row],[LOADINGSPEED]],LOADINGSPEEDDEF[TYPE],LOADINGSPEEDDEF[SPEED])</f>
        <v>20</v>
      </c>
      <c r="N384" cm="1">
        <f t="array" ref="N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4">
        <f>IF(ISNUMBER(SEARCH("passenger",PROPERTIES[[#This Row],[CARGODEF]])),1,0)</f>
        <v>0</v>
      </c>
      <c r="P384" s="29">
        <v>88</v>
      </c>
      <c r="Q384">
        <v>1710</v>
      </c>
      <c r="R384">
        <v>80</v>
      </c>
      <c r="S384" s="26">
        <v>0</v>
      </c>
      <c r="T384" s="25">
        <f>IFERROR(PROPERTIES[[#This Row],[TE_STARTING_KN]]/(PROPERTIES[[#This Row],[WEIGHT]]*9.81),0)</f>
        <v>0</v>
      </c>
      <c r="U384" s="25">
        <v>0.17</v>
      </c>
      <c r="V384" s="22">
        <f>ROUND(IF(IFERROR(PROPERTIES[[#This Row],[TE_COEFFICIENT_CALC]],0)=0,PROPERTIES[[#This Row],[TE_COEFFICIENT_MANUAL]],PROPERTIES[[#This Row],[TE_COEFFICIENT_CALC]]),3)</f>
        <v>0.17</v>
      </c>
      <c r="W384" s="10" cm="1">
        <f t="array" ref="W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84" s="32">
        <v>0</v>
      </c>
      <c r="Y384" s="8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8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9" t="b">
        <v>0</v>
      </c>
      <c r="AY384"/>
      <c r="AZ384"/>
      <c r="BA384"/>
    </row>
    <row r="385" spans="1:53">
      <c r="A385" s="2" t="s">
        <v>405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t="s">
        <v>1801</v>
      </c>
      <c r="F385" t="str">
        <f>_xlfn.XLOOKUP(PROPERTIES[[#This Row],[COUNTRY]],COUNTRIES[COUNTRY_DESCRIPTION],COUNTRIES[COUNTRY_LABEL],"")</f>
        <v>IN</v>
      </c>
      <c r="G385" t="str" cm="1">
        <f t="array" ref="G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5" t="s">
        <v>19</v>
      </c>
      <c r="I385">
        <v>0</v>
      </c>
      <c r="J385">
        <v>8</v>
      </c>
      <c r="K385">
        <v>8</v>
      </c>
      <c r="L385" t="str" cm="1">
        <f t="array" ref="L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5">
        <f>_xlfn.XLOOKUP("LOADINGSPEEDDEF_"&amp;PROPERTIES[[#This Row],[LOADINGSPEED]],LOADINGSPEEDDEF[TYPE],LOADINGSPEEDDEF[SPEED])</f>
        <v>20</v>
      </c>
      <c r="N385" cm="1">
        <f t="array" ref="N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5">
        <f>IF(ISNUMBER(SEARCH("passenger",PROPERTIES[[#This Row],[CARGODEF]])),1,0)</f>
        <v>0</v>
      </c>
      <c r="P385" s="29">
        <v>124</v>
      </c>
      <c r="Q385">
        <v>3700</v>
      </c>
      <c r="R385">
        <v>104</v>
      </c>
      <c r="S385" s="26">
        <v>300</v>
      </c>
      <c r="T385" s="25">
        <f>IFERROR(PROPERTIES[[#This Row],[TE_STARTING_KN]]/(PROPERTIES[[#This Row],[WEIGHT]]*9.81),0)</f>
        <v>0.24662128834961033</v>
      </c>
      <c r="U385" s="25">
        <v>0.25</v>
      </c>
      <c r="V385" s="22">
        <f>ROUND(IF(IFERROR(PROPERTIES[[#This Row],[TE_COEFFICIENT_CALC]],0)=0,PROPERTIES[[#This Row],[TE_COEFFICIENT_MANUAL]],PROPERTIES[[#This Row],[TE_COEFFICIENT_CALC]]),3)</f>
        <v>0.247</v>
      </c>
      <c r="W385" s="10" cm="1">
        <f t="array" ref="W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5" s="32">
        <v>0</v>
      </c>
      <c r="Y385" s="8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8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9" t="b">
        <v>0</v>
      </c>
      <c r="AY385"/>
      <c r="AZ385"/>
      <c r="BA385"/>
    </row>
    <row r="386" spans="1:53">
      <c r="A386" s="2" t="s">
        <v>406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t="s">
        <v>1942</v>
      </c>
      <c r="F386" t="str">
        <f>_xlfn.XLOOKUP(PROPERTIES[[#This Row],[COUNTRY]],COUNTRIES[COUNTRY_DESCRIPTION],COUNTRIES[COUNTRY_LABEL],"")</f>
        <v>ZA</v>
      </c>
      <c r="G386" t="str" cm="1">
        <f t="array" ref="G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6" t="s">
        <v>19</v>
      </c>
      <c r="I386">
        <v>0</v>
      </c>
      <c r="J386">
        <v>6</v>
      </c>
      <c r="K386">
        <v>6</v>
      </c>
      <c r="L386" t="str" cm="1">
        <f t="array" ref="L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6">
        <f>_xlfn.XLOOKUP("LOADINGSPEEDDEF_"&amp;PROPERTIES[[#This Row],[LOADINGSPEED]],LOADINGSPEEDDEF[TYPE],LOADINGSPEEDDEF[SPEED])</f>
        <v>20</v>
      </c>
      <c r="N386" t="str" cm="1">
        <f t="array" ref="N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86">
        <f>IF(ISNUMBER(SEARCH("passenger",PROPERTIES[[#This Row],[CARGODEF]])),1,0)</f>
        <v>0</v>
      </c>
      <c r="P386" s="29">
        <v>74</v>
      </c>
      <c r="Q386">
        <v>2000</v>
      </c>
      <c r="R386">
        <v>100</v>
      </c>
      <c r="S386" s="26">
        <v>260</v>
      </c>
      <c r="T386" s="25">
        <f>IFERROR(PROPERTIES[[#This Row],[TE_STARTING_KN]]/(PROPERTIES[[#This Row],[WEIGHT]]*9.81),0)</f>
        <v>0.35815632145907372</v>
      </c>
      <c r="U386" s="25">
        <v>0.24</v>
      </c>
      <c r="V386" s="22">
        <f>ROUND(IF(IFERROR(PROPERTIES[[#This Row],[TE_COEFFICIENT_CALC]],0)=0,PROPERTIES[[#This Row],[TE_COEFFICIENT_MANUAL]],PROPERTIES[[#This Row],[TE_COEFFICIENT_CALC]]),3)</f>
        <v>0.35799999999999998</v>
      </c>
      <c r="W386" s="10" cm="1">
        <f t="array" ref="W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6" s="32">
        <v>0</v>
      </c>
      <c r="Y386" s="8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8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9" t="b">
        <v>0</v>
      </c>
      <c r="AY386"/>
      <c r="AZ386"/>
      <c r="BA386"/>
    </row>
    <row r="387" spans="1:53">
      <c r="A387" s="2" t="s">
        <v>407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t="s">
        <v>1743</v>
      </c>
      <c r="F387" t="str">
        <f>_xlfn.XLOOKUP(PROPERTIES[[#This Row],[COUNTRY]],COUNTRIES[COUNTRY_DESCRIPTION],COUNTRIES[COUNTRY_LABEL],"")</f>
        <v>CL</v>
      </c>
      <c r="G387" t="str" cm="1">
        <f t="array" ref="G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7" t="s">
        <v>19</v>
      </c>
      <c r="I387">
        <v>0</v>
      </c>
      <c r="J387">
        <v>7</v>
      </c>
      <c r="K387">
        <v>7</v>
      </c>
      <c r="L387" t="str" cm="1">
        <f t="array" ref="L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7">
        <f>_xlfn.XLOOKUP("LOADINGSPEEDDEF_"&amp;PROPERTIES[[#This Row],[LOADINGSPEED]],LOADINGSPEEDDEF[TYPE],LOADINGSPEEDDEF[SPEED])</f>
        <v>20</v>
      </c>
      <c r="N387" cm="1">
        <f t="array" ref="N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7">
        <f>IF(ISNUMBER(SEARCH("passenger",PROPERTIES[[#This Row],[CARGODEF]])),1,0)</f>
        <v>0</v>
      </c>
      <c r="P387" s="29">
        <v>88</v>
      </c>
      <c r="Q387">
        <v>4340</v>
      </c>
      <c r="R387">
        <v>160</v>
      </c>
      <c r="S387" s="26">
        <v>0</v>
      </c>
      <c r="T387" s="25">
        <f>IFERROR(PROPERTIES[[#This Row],[TE_STARTING_KN]]/(PROPERTIES[[#This Row],[WEIGHT]]*9.81),0)</f>
        <v>0</v>
      </c>
      <c r="U387" s="25">
        <v>0.16</v>
      </c>
      <c r="V387" s="22">
        <f>ROUND(IF(IFERROR(PROPERTIES[[#This Row],[TE_COEFFICIENT_CALC]],0)=0,PROPERTIES[[#This Row],[TE_COEFFICIENT_MANUAL]],PROPERTIES[[#This Row],[TE_COEFFICIENT_CALC]]),3)</f>
        <v>0.16</v>
      </c>
      <c r="W387" s="10" cm="1">
        <f t="array" ref="W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7" s="32">
        <v>0</v>
      </c>
      <c r="Y387" s="8">
        <v>0</v>
      </c>
      <c r="Z387" t="s">
        <v>876</v>
      </c>
      <c r="AA387" t="s">
        <v>870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8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9" t="b">
        <v>0</v>
      </c>
      <c r="AY387"/>
      <c r="AZ387"/>
      <c r="BA387"/>
    </row>
    <row r="388" spans="1:53">
      <c r="A388" s="2" t="s">
        <v>408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t="s">
        <v>1753</v>
      </c>
      <c r="F388" t="str">
        <f>_xlfn.XLOOKUP(PROPERTIES[[#This Row],[COUNTRY]],COUNTRIES[COUNTRY_DESCRIPTION],COUNTRIES[COUNTRY_LABEL],"")</f>
        <v>CZ</v>
      </c>
      <c r="G388" t="str" cm="1">
        <f t="array" ref="G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8" t="s">
        <v>19</v>
      </c>
      <c r="I388">
        <v>0</v>
      </c>
      <c r="J388">
        <v>7</v>
      </c>
      <c r="K388">
        <v>7</v>
      </c>
      <c r="L388" t="str" cm="1">
        <f t="array" ref="L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8">
        <f>_xlfn.XLOOKUP("LOADINGSPEEDDEF_"&amp;PROPERTIES[[#This Row],[LOADINGSPEED]],LOADINGSPEEDDEF[TYPE],LOADINGSPEEDDEF[SPEED])</f>
        <v>20</v>
      </c>
      <c r="N388" cm="1">
        <f t="array" ref="N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8">
        <f>IF(ISNUMBER(SEARCH("passenger",PROPERTIES[[#This Row],[CARGODEF]])),1,0)</f>
        <v>0</v>
      </c>
      <c r="P388" s="29">
        <v>87</v>
      </c>
      <c r="Q388">
        <v>4667</v>
      </c>
      <c r="R388">
        <v>120</v>
      </c>
      <c r="S388" s="26">
        <v>260</v>
      </c>
      <c r="T388" s="25">
        <f>IFERROR(PROPERTIES[[#This Row],[TE_STARTING_KN]]/(PROPERTIES[[#This Row],[WEIGHT]]*9.81),0)</f>
        <v>0.30463871020656846</v>
      </c>
      <c r="U388" s="25">
        <v>0.3</v>
      </c>
      <c r="V388" s="22">
        <f>ROUND(IF(IFERROR(PROPERTIES[[#This Row],[TE_COEFFICIENT_CALC]],0)=0,PROPERTIES[[#This Row],[TE_COEFFICIENT_MANUAL]],PROPERTIES[[#This Row],[TE_COEFFICIENT_CALC]]),3)</f>
        <v>0.30499999999999999</v>
      </c>
      <c r="W388" s="10" cm="1">
        <f t="array" ref="W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8" s="32">
        <v>0</v>
      </c>
      <c r="Y388" s="8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8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9" t="b">
        <v>0</v>
      </c>
      <c r="AY388"/>
      <c r="AZ388"/>
      <c r="BA388"/>
    </row>
    <row r="389" spans="1:53">
      <c r="A389" s="2" t="s">
        <v>409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t="s">
        <v>1863</v>
      </c>
      <c r="F389" t="str">
        <f>_xlfn.XLOOKUP(PROPERTIES[[#This Row],[COUNTRY]],COUNTRIES[COUNTRY_DESCRIPTION],COUNTRIES[COUNTRY_LABEL],"")</f>
        <v>NO</v>
      </c>
      <c r="G389" t="str" cm="1">
        <f t="array" ref="G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9" t="s">
        <v>19</v>
      </c>
      <c r="I389">
        <v>0</v>
      </c>
      <c r="J389">
        <v>6</v>
      </c>
      <c r="K389">
        <v>6</v>
      </c>
      <c r="L389" t="str" cm="1">
        <f t="array" ref="L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9">
        <f>_xlfn.XLOOKUP("LOADINGSPEEDDEF_"&amp;PROPERTIES[[#This Row],[LOADINGSPEED]],LOADINGSPEEDDEF[TYPE],LOADINGSPEEDDEF[SPEED])</f>
        <v>20</v>
      </c>
      <c r="N389" cm="1">
        <f t="array" ref="N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9">
        <f>IF(ISNUMBER(SEARCH("passenger",PROPERTIES[[#This Row],[CARGODEF]])),1,0)</f>
        <v>0</v>
      </c>
      <c r="P389" s="29">
        <v>48</v>
      </c>
      <c r="Q389">
        <v>490</v>
      </c>
      <c r="R389">
        <v>45</v>
      </c>
      <c r="S389" s="26">
        <v>0</v>
      </c>
      <c r="T389" s="25">
        <f>IFERROR(PROPERTIES[[#This Row],[TE_STARTING_KN]]/(PROPERTIES[[#This Row],[WEIGHT]]*9.81),0)</f>
        <v>0</v>
      </c>
      <c r="U389" s="25">
        <v>0.22</v>
      </c>
      <c r="V389" s="22">
        <f>ROUND(IF(IFERROR(PROPERTIES[[#This Row],[TE_COEFFICIENT_CALC]],0)=0,PROPERTIES[[#This Row],[TE_COEFFICIENT_MANUAL]],PROPERTIES[[#This Row],[TE_COEFFICIENT_CALC]]),3)</f>
        <v>0.22</v>
      </c>
      <c r="W389" s="10" cm="1">
        <f t="array" ref="W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89" s="32">
        <v>0</v>
      </c>
      <c r="Y389" s="8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8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9" t="b">
        <v>0</v>
      </c>
      <c r="AY389"/>
      <c r="AZ389"/>
      <c r="BA389"/>
    </row>
    <row r="390" spans="1:53">
      <c r="A390" s="2" t="s">
        <v>410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t="s">
        <v>1928</v>
      </c>
      <c r="F390" t="str">
        <f>_xlfn.XLOOKUP(PROPERTIES[[#This Row],[COUNTRY]],COUNTRIES[COUNTRY_DESCRIPTION],COUNTRIES[COUNTRY_LABEL],"")</f>
        <v>US</v>
      </c>
      <c r="G390" t="str" cm="1">
        <f t="array" ref="G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0" t="s">
        <v>19</v>
      </c>
      <c r="I390">
        <v>0</v>
      </c>
      <c r="J390">
        <v>8</v>
      </c>
      <c r="K390">
        <v>10</v>
      </c>
      <c r="L390" t="str" cm="1">
        <f t="array" ref="L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0">
        <f>_xlfn.XLOOKUP("LOADINGSPEEDDEF_"&amp;PROPERTIES[[#This Row],[LOADINGSPEED]],LOADINGSPEEDDEF[TYPE],LOADINGSPEEDDEF[SPEED])</f>
        <v>20</v>
      </c>
      <c r="N390" cm="1">
        <f t="array" ref="N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0">
        <f>IF(ISNUMBER(SEARCH("passenger",PROPERTIES[[#This Row],[CARGODEF]])),1,0)</f>
        <v>0</v>
      </c>
      <c r="P390" s="29">
        <v>234</v>
      </c>
      <c r="Q390">
        <v>4600</v>
      </c>
      <c r="R390">
        <v>33</v>
      </c>
      <c r="S390" s="26">
        <v>620</v>
      </c>
      <c r="T390" s="25">
        <f>IFERROR(PROPERTIES[[#This Row],[TE_STARTING_KN]]/(PROPERTIES[[#This Row],[WEIGHT]]*9.81),0)</f>
        <v>0.27008895510424563</v>
      </c>
      <c r="U390" s="25">
        <v>0.17</v>
      </c>
      <c r="V390" s="22">
        <f>ROUND(IF(IFERROR(PROPERTIES[[#This Row],[TE_COEFFICIENT_CALC]],0)=0,PROPERTIES[[#This Row],[TE_COEFFICIENT_MANUAL]],PROPERTIES[[#This Row],[TE_COEFFICIENT_CALC]]),3)</f>
        <v>0.27</v>
      </c>
      <c r="W390" s="10" cm="1">
        <f t="array" ref="W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0" s="32">
        <v>0</v>
      </c>
      <c r="Y390" s="8">
        <v>2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8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9" t="b">
        <v>0</v>
      </c>
      <c r="AY390"/>
      <c r="AZ390"/>
      <c r="BA390"/>
    </row>
    <row r="391" spans="1:53">
      <c r="A391" s="2" t="s">
        <v>411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t="s">
        <v>1709</v>
      </c>
      <c r="F391" t="str">
        <f>_xlfn.XLOOKUP(PROPERTIES[[#This Row],[COUNTRY]],COUNTRIES[COUNTRY_DESCRIPTION],COUNTRIES[COUNTRY_LABEL],"")</f>
        <v>AT</v>
      </c>
      <c r="G391" t="str" cm="1">
        <f t="array" ref="G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1" t="s">
        <v>19</v>
      </c>
      <c r="I391">
        <v>0</v>
      </c>
      <c r="J391">
        <v>5</v>
      </c>
      <c r="K391">
        <v>5</v>
      </c>
      <c r="L391" t="str" cm="1">
        <f t="array" ref="L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1">
        <f>_xlfn.XLOOKUP("LOADINGSPEEDDEF_"&amp;PROPERTIES[[#This Row],[LOADINGSPEED]],LOADINGSPEEDDEF[TYPE],LOADINGSPEEDDEF[SPEED])</f>
        <v>20</v>
      </c>
      <c r="N391" cm="1">
        <f t="array" ref="N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1">
        <f>IF(ISNUMBER(SEARCH("passenger",PROPERTIES[[#This Row],[CARGODEF]])),1,0)</f>
        <v>0</v>
      </c>
      <c r="P391" s="29">
        <v>55</v>
      </c>
      <c r="Q391">
        <v>1000</v>
      </c>
      <c r="R391">
        <v>40</v>
      </c>
      <c r="S391" s="26">
        <v>140</v>
      </c>
      <c r="T391" s="25">
        <f>IFERROR(PROPERTIES[[#This Row],[TE_STARTING_KN]]/(PROPERTIES[[#This Row],[WEIGHT]]*9.81),0)</f>
        <v>0.25947548883328697</v>
      </c>
      <c r="U391" s="25">
        <v>0.25</v>
      </c>
      <c r="V391" s="22">
        <f>ROUND(IF(IFERROR(PROPERTIES[[#This Row],[TE_COEFFICIENT_CALC]],0)=0,PROPERTIES[[#This Row],[TE_COEFFICIENT_MANUAL]],PROPERTIES[[#This Row],[TE_COEFFICIENT_CALC]]),3)</f>
        <v>0.25900000000000001</v>
      </c>
      <c r="W391" s="10" cm="1">
        <f t="array" ref="W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391" s="32">
        <v>0</v>
      </c>
      <c r="Y391" s="8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8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9" t="b">
        <v>0</v>
      </c>
      <c r="AY391"/>
      <c r="AZ391"/>
      <c r="BA391"/>
    </row>
    <row r="392" spans="1:53">
      <c r="A392" s="2" t="s">
        <v>412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t="s">
        <v>1754</v>
      </c>
      <c r="F392" t="str">
        <f>_xlfn.XLOOKUP(PROPERTIES[[#This Row],[COUNTRY]],COUNTRIES[COUNTRY_DESCRIPTION],COUNTRIES[COUNTRY_LABEL],"")</f>
        <v>DE</v>
      </c>
      <c r="G392" t="str" cm="1">
        <f t="array" ref="G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2" t="s">
        <v>19</v>
      </c>
      <c r="I392">
        <v>0</v>
      </c>
      <c r="J392">
        <v>6</v>
      </c>
      <c r="K392">
        <v>6</v>
      </c>
      <c r="L392" t="str" cm="1">
        <f t="array" ref="L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2">
        <f>_xlfn.XLOOKUP("LOADINGSPEEDDEF_"&amp;PROPERTIES[[#This Row],[LOADINGSPEED]],LOADINGSPEEDDEF[TYPE],LOADINGSPEEDDEF[SPEED])</f>
        <v>20</v>
      </c>
      <c r="N392" cm="1">
        <f t="array" ref="N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2">
        <f>IF(ISNUMBER(SEARCH("passenger",PROPERTIES[[#This Row],[CARGODEF]])),1,0)</f>
        <v>0</v>
      </c>
      <c r="P392" s="29">
        <v>32</v>
      </c>
      <c r="Q392">
        <v>810</v>
      </c>
      <c r="R392">
        <v>50</v>
      </c>
      <c r="S392" s="26">
        <v>93</v>
      </c>
      <c r="T392" s="25">
        <f>IFERROR(PROPERTIES[[#This Row],[TE_STARTING_KN]]/(PROPERTIES[[#This Row],[WEIGHT]]*9.81),0)</f>
        <v>0.29625382262996941</v>
      </c>
      <c r="U392" s="25">
        <v>0.28999999999999998</v>
      </c>
      <c r="V392" s="22">
        <f>ROUND(IF(IFERROR(PROPERTIES[[#This Row],[TE_COEFFICIENT_CALC]],0)=0,PROPERTIES[[#This Row],[TE_COEFFICIENT_MANUAL]],PROPERTIES[[#This Row],[TE_COEFFICIENT_CALC]]),3)</f>
        <v>0.29599999999999999</v>
      </c>
      <c r="W392" s="10" cm="1">
        <f t="array" ref="W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92" s="32">
        <v>0</v>
      </c>
      <c r="Y392" s="8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8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9" t="b">
        <v>0</v>
      </c>
      <c r="AY392"/>
      <c r="AZ392"/>
      <c r="BA392"/>
    </row>
    <row r="393" spans="1:53">
      <c r="A393" s="2" t="s">
        <v>413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t="s">
        <v>1863</v>
      </c>
      <c r="F393" t="str">
        <f>_xlfn.XLOOKUP(PROPERTIES[[#This Row],[COUNTRY]],COUNTRIES[COUNTRY_DESCRIPTION],COUNTRIES[COUNTRY_LABEL],"")</f>
        <v>NO</v>
      </c>
      <c r="G393" t="str" cm="1">
        <f t="array" ref="G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3" t="s">
        <v>19</v>
      </c>
      <c r="I393">
        <v>0</v>
      </c>
      <c r="J393">
        <v>6</v>
      </c>
      <c r="K393">
        <v>6</v>
      </c>
      <c r="L393" t="str" cm="1">
        <f t="array" ref="L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3">
        <f>_xlfn.XLOOKUP("LOADINGSPEEDDEF_"&amp;PROPERTIES[[#This Row],[LOADINGSPEED]],LOADINGSPEEDDEF[TYPE],LOADINGSPEEDDEF[SPEED])</f>
        <v>20</v>
      </c>
      <c r="N393" cm="1">
        <f t="array" ref="N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3">
        <f>IF(ISNUMBER(SEARCH("passenger",PROPERTIES[[#This Row],[CARGODEF]])),1,0)</f>
        <v>0</v>
      </c>
      <c r="P393" s="29">
        <v>47.3</v>
      </c>
      <c r="Q393">
        <v>700</v>
      </c>
      <c r="R393">
        <v>45</v>
      </c>
      <c r="S393" s="26">
        <v>110</v>
      </c>
      <c r="T393" s="25">
        <f>IFERROR(PROPERTIES[[#This Row],[TE_STARTING_KN]]/(PROPERTIES[[#This Row],[WEIGHT]]*9.81),0)</f>
        <v>0.23706232368489677</v>
      </c>
      <c r="U393" s="25">
        <v>0.3</v>
      </c>
      <c r="V393" s="22">
        <f>ROUND(IF(IFERROR(PROPERTIES[[#This Row],[TE_COEFFICIENT_CALC]],0)=0,PROPERTIES[[#This Row],[TE_COEFFICIENT_MANUAL]],PROPERTIES[[#This Row],[TE_COEFFICIENT_CALC]]),3)</f>
        <v>0.23699999999999999</v>
      </c>
      <c r="W393" s="10" cm="1">
        <f t="array" ref="W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93" s="32">
        <v>0</v>
      </c>
      <c r="Y393" s="8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8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9" t="b">
        <v>0</v>
      </c>
      <c r="AY393"/>
      <c r="AZ393"/>
      <c r="BA393"/>
    </row>
    <row r="394" spans="1:53">
      <c r="A394" s="2" t="s">
        <v>414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t="s">
        <v>1754</v>
      </c>
      <c r="F394" t="str">
        <f>_xlfn.XLOOKUP(PROPERTIES[[#This Row],[COUNTRY]],COUNTRIES[COUNTRY_DESCRIPTION],COUNTRIES[COUNTRY_LABEL],"")</f>
        <v>DE</v>
      </c>
      <c r="G394" t="str" cm="1">
        <f t="array" ref="G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4" t="s">
        <v>19</v>
      </c>
      <c r="I394">
        <v>0</v>
      </c>
      <c r="J394">
        <v>8</v>
      </c>
      <c r="K394">
        <v>8</v>
      </c>
      <c r="L394" t="str" cm="1">
        <f t="array" ref="L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4">
        <f>_xlfn.XLOOKUP("LOADINGSPEEDDEF_"&amp;PROPERTIES[[#This Row],[LOADINGSPEED]],LOADINGSPEEDDEF[TYPE],LOADINGSPEEDDEF[SPEED])</f>
        <v>20</v>
      </c>
      <c r="N394" cm="1">
        <f t="array" ref="N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4">
        <f>IF(ISNUMBER(SEARCH("passenger",PROPERTIES[[#This Row],[CARGODEF]])),1,0)</f>
        <v>0</v>
      </c>
      <c r="P394" s="29">
        <v>92</v>
      </c>
      <c r="Q394">
        <v>2935</v>
      </c>
      <c r="R394">
        <v>110</v>
      </c>
      <c r="S394" s="26">
        <v>177</v>
      </c>
      <c r="T394" s="25">
        <f>IFERROR(PROPERTIES[[#This Row],[TE_STARTING_KN]]/(PROPERTIES[[#This Row],[WEIGHT]]*9.81),0)</f>
        <v>0.19611753756149447</v>
      </c>
      <c r="U394" s="25">
        <v>0.3</v>
      </c>
      <c r="V394" s="22">
        <f>ROUND(IF(IFERROR(PROPERTIES[[#This Row],[TE_COEFFICIENT_CALC]],0)=0,PROPERTIES[[#This Row],[TE_COEFFICIENT_MANUAL]],PROPERTIES[[#This Row],[TE_COEFFICIENT_CALC]]),3)</f>
        <v>0.19600000000000001</v>
      </c>
      <c r="W394" s="10" cm="1">
        <f t="array" ref="W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94" s="32">
        <v>0</v>
      </c>
      <c r="Y394" s="8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8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9" t="b">
        <v>0</v>
      </c>
      <c r="AY394"/>
      <c r="AZ394"/>
      <c r="BA394"/>
    </row>
    <row r="395" spans="1:53">
      <c r="A395" s="2" t="s">
        <v>415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t="s">
        <v>1928</v>
      </c>
      <c r="F395" t="str">
        <f>_xlfn.XLOOKUP(PROPERTIES[[#This Row],[COUNTRY]],COUNTRIES[COUNTRY_DESCRIPTION],COUNTRIES[COUNTRY_LABEL],"")</f>
        <v>US</v>
      </c>
      <c r="G395" t="str" cm="1">
        <f t="array" ref="G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5" t="s">
        <v>19</v>
      </c>
      <c r="I395">
        <v>0</v>
      </c>
      <c r="J395">
        <v>8</v>
      </c>
      <c r="K395">
        <v>10</v>
      </c>
      <c r="L395" t="str" cm="1">
        <f t="array" ref="L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5">
        <f>_xlfn.XLOOKUP("LOADINGSPEEDDEF_"&amp;PROPERTIES[[#This Row],[LOADINGSPEED]],LOADINGSPEEDDEF[TYPE],LOADINGSPEEDDEF[SPEED])</f>
        <v>20</v>
      </c>
      <c r="N395" cm="1">
        <f t="array" ref="N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5">
        <f>IF(ISNUMBER(SEARCH("passenger",PROPERTIES[[#This Row],[CARGODEF]])),1,0)</f>
        <v>0</v>
      </c>
      <c r="P395" s="29">
        <v>215</v>
      </c>
      <c r="Q395">
        <v>4620</v>
      </c>
      <c r="R395">
        <v>160</v>
      </c>
      <c r="S395" s="26">
        <v>291</v>
      </c>
      <c r="T395" s="25">
        <f>IFERROR(PROPERTIES[[#This Row],[TE_STARTING_KN]]/(PROPERTIES[[#This Row],[WEIGHT]]*9.81),0)</f>
        <v>0.1379702723846099</v>
      </c>
      <c r="U395" s="25">
        <v>0.15</v>
      </c>
      <c r="V395" s="22">
        <f>ROUND(IF(IFERROR(PROPERTIES[[#This Row],[TE_COEFFICIENT_CALC]],0)=0,PROPERTIES[[#This Row],[TE_COEFFICIENT_MANUAL]],PROPERTIES[[#This Row],[TE_COEFFICIENT_CALC]]),3)</f>
        <v>0.13800000000000001</v>
      </c>
      <c r="W395" s="10" cm="1">
        <f t="array" ref="W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95" s="32">
        <v>0</v>
      </c>
      <c r="Y395" s="8">
        <v>2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8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9" t="b">
        <v>0</v>
      </c>
      <c r="AY395"/>
      <c r="AZ395"/>
      <c r="BA395"/>
    </row>
    <row r="396" spans="1:53">
      <c r="A396" s="2" t="s">
        <v>416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t="s">
        <v>1754</v>
      </c>
      <c r="F396" t="str">
        <f>_xlfn.XLOOKUP(PROPERTIES[[#This Row],[COUNTRY]],COUNTRIES[COUNTRY_DESCRIPTION],COUNTRIES[COUNTRY_LABEL],"")</f>
        <v>DE</v>
      </c>
      <c r="G396" t="str" cm="1">
        <f t="array" ref="G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6" t="s">
        <v>19</v>
      </c>
      <c r="I396">
        <v>0</v>
      </c>
      <c r="J396">
        <v>8</v>
      </c>
      <c r="K396">
        <v>8</v>
      </c>
      <c r="L396" t="str" cm="1">
        <f t="array" ref="L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6">
        <f>_xlfn.XLOOKUP("LOADINGSPEEDDEF_"&amp;PROPERTIES[[#This Row],[LOADINGSPEED]],LOADINGSPEEDDEF[TYPE],LOADINGSPEEDDEF[SPEED])</f>
        <v>20</v>
      </c>
      <c r="N396" cm="1">
        <f t="array" ref="N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6">
        <f>IF(ISNUMBER(SEARCH("passenger",PROPERTIES[[#This Row],[CARGODEF]])),1,0)</f>
        <v>0</v>
      </c>
      <c r="P396" s="29">
        <v>128</v>
      </c>
      <c r="Q396">
        <v>3648</v>
      </c>
      <c r="R396">
        <v>75</v>
      </c>
      <c r="S396" s="26">
        <v>300</v>
      </c>
      <c r="T396" s="25">
        <f>IFERROR(PROPERTIES[[#This Row],[TE_STARTING_KN]]/(PROPERTIES[[#This Row],[WEIGHT]]*9.81),0)</f>
        <v>0.23891437308868502</v>
      </c>
      <c r="U396" s="25">
        <v>0.31</v>
      </c>
      <c r="V396" s="22">
        <f>ROUND(IF(IFERROR(PROPERTIES[[#This Row],[TE_COEFFICIENT_CALC]],0)=0,PROPERTIES[[#This Row],[TE_COEFFICIENT_MANUAL]],PROPERTIES[[#This Row],[TE_COEFFICIENT_CALC]]),3)</f>
        <v>0.23899999999999999</v>
      </c>
      <c r="W396" s="10" cm="1">
        <f t="array" ref="W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6" s="32">
        <v>0</v>
      </c>
      <c r="Y396" s="8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8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9" t="b">
        <v>0</v>
      </c>
      <c r="AY396"/>
      <c r="AZ396"/>
      <c r="BA396"/>
    </row>
    <row r="397" spans="1:53">
      <c r="A397" s="2" t="s">
        <v>417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t="s">
        <v>1754</v>
      </c>
      <c r="F397" t="str">
        <f>_xlfn.XLOOKUP(PROPERTIES[[#This Row],[COUNTRY]],COUNTRIES[COUNTRY_DESCRIPTION],COUNTRIES[COUNTRY_LABEL],"")</f>
        <v>DE</v>
      </c>
      <c r="G397" t="str" cm="1">
        <f t="array" ref="G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7" t="s">
        <v>19</v>
      </c>
      <c r="I397">
        <v>0</v>
      </c>
      <c r="J397">
        <v>8</v>
      </c>
      <c r="K397">
        <v>8</v>
      </c>
      <c r="L397" t="str" cm="1">
        <f t="array" ref="L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7">
        <f>_xlfn.XLOOKUP("LOADINGSPEEDDEF_"&amp;PROPERTIES[[#This Row],[LOADINGSPEED]],LOADINGSPEEDDEF[TYPE],LOADINGSPEEDDEF[SPEED])</f>
        <v>20</v>
      </c>
      <c r="N397" cm="1">
        <f t="array" ref="N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7">
        <f>IF(ISNUMBER(SEARCH("passenger",PROPERTIES[[#This Row],[CARGODEF]])),1,0)</f>
        <v>0</v>
      </c>
      <c r="P397" s="29">
        <v>114</v>
      </c>
      <c r="Q397">
        <v>9980</v>
      </c>
      <c r="R397">
        <v>200</v>
      </c>
      <c r="S397" s="26">
        <v>312</v>
      </c>
      <c r="T397" s="25">
        <f>IFERROR(PROPERTIES[[#This Row],[TE_STARTING_KN]]/(PROPERTIES[[#This Row],[WEIGHT]]*9.81),0)</f>
        <v>0.27898492408391007</v>
      </c>
      <c r="U397" s="25">
        <v>0.27</v>
      </c>
      <c r="V397" s="22">
        <f>ROUND(IF(IFERROR(PROPERTIES[[#This Row],[TE_COEFFICIENT_CALC]],0)=0,PROPERTIES[[#This Row],[TE_COEFFICIENT_MANUAL]],PROPERTIES[[#This Row],[TE_COEFFICIENT_CALC]]),3)</f>
        <v>0.27900000000000003</v>
      </c>
      <c r="W397" s="10" cm="1">
        <f t="array" ref="W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97" s="32">
        <v>0</v>
      </c>
      <c r="Y397" s="8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8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9" t="b">
        <v>0</v>
      </c>
      <c r="AY397"/>
      <c r="AZ397"/>
      <c r="BA397"/>
    </row>
    <row r="398" spans="1:53">
      <c r="A398" s="2" t="s">
        <v>418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t="s">
        <v>1754</v>
      </c>
      <c r="F398" t="str">
        <f>_xlfn.XLOOKUP(PROPERTIES[[#This Row],[COUNTRY]],COUNTRIES[COUNTRY_DESCRIPTION],COUNTRIES[COUNTRY_LABEL],"")</f>
        <v>DE</v>
      </c>
      <c r="G398" t="str" cm="1">
        <f t="array" ref="G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8" t="s">
        <v>19</v>
      </c>
      <c r="I398">
        <v>0</v>
      </c>
      <c r="J398">
        <v>8</v>
      </c>
      <c r="K398">
        <v>8</v>
      </c>
      <c r="L398" t="str" cm="1">
        <f t="array" ref="L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8">
        <f>_xlfn.XLOOKUP("LOADINGSPEEDDEF_"&amp;PROPERTIES[[#This Row],[LOADINGSPEED]],LOADINGSPEEDDEF[TYPE],LOADINGSPEEDDEF[SPEED])</f>
        <v>20</v>
      </c>
      <c r="N398" cm="1">
        <f t="array" ref="N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8">
        <f>IF(ISNUMBER(SEARCH("passenger",PROPERTIES[[#This Row],[CARGODEF]])),1,0)</f>
        <v>0</v>
      </c>
      <c r="P398" s="29">
        <v>124</v>
      </c>
      <c r="Q398">
        <v>2230</v>
      </c>
      <c r="R398">
        <v>55</v>
      </c>
      <c r="S398" s="26">
        <v>294</v>
      </c>
      <c r="T398" s="25">
        <f>IFERROR(PROPERTIES[[#This Row],[TE_STARTING_KN]]/(PROPERTIES[[#This Row],[WEIGHT]]*9.81),0)</f>
        <v>0.24168886258261812</v>
      </c>
      <c r="U398" s="25">
        <v>0.24</v>
      </c>
      <c r="V398" s="22">
        <f>ROUND(IF(IFERROR(PROPERTIES[[#This Row],[TE_COEFFICIENT_CALC]],0)=0,PROPERTIES[[#This Row],[TE_COEFFICIENT_MANUAL]],PROPERTIES[[#This Row],[TE_COEFFICIENT_CALC]]),3)</f>
        <v>0.24199999999999999</v>
      </c>
      <c r="W398" s="10" cm="1">
        <f t="array" ref="W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98" s="32">
        <v>0</v>
      </c>
      <c r="Y398" s="8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8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9" t="b">
        <v>0</v>
      </c>
      <c r="AY398"/>
      <c r="AZ398"/>
      <c r="BA398"/>
    </row>
    <row r="399" spans="1:53">
      <c r="A399" s="2" t="s">
        <v>419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t="s">
        <v>1740</v>
      </c>
      <c r="F399" t="str">
        <f>_xlfn.XLOOKUP(PROPERTIES[[#This Row],[COUNTRY]],COUNTRIES[COUNTRY_DESCRIPTION],COUNTRIES[COUNTRY_LABEL],"")</f>
        <v>CH</v>
      </c>
      <c r="G399" t="str" cm="1">
        <f t="array" ref="G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9" t="s">
        <v>19</v>
      </c>
      <c r="I399">
        <v>0</v>
      </c>
      <c r="J399">
        <v>5</v>
      </c>
      <c r="K399">
        <v>5</v>
      </c>
      <c r="L399" t="str" cm="1">
        <f t="array" ref="L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9">
        <f>_xlfn.XLOOKUP("LOADINGSPEEDDEF_"&amp;PROPERTIES[[#This Row],[LOADINGSPEED]],LOADINGSPEEDDEF[TYPE],LOADINGSPEEDDEF[SPEED])</f>
        <v>20</v>
      </c>
      <c r="N399" cm="1">
        <f t="array" ref="N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9">
        <f>IF(ISNUMBER(SEARCH("passenger",PROPERTIES[[#This Row],[CARGODEF]])),1,0)</f>
        <v>0</v>
      </c>
      <c r="P399" s="29">
        <v>70</v>
      </c>
      <c r="Q399">
        <v>1000</v>
      </c>
      <c r="R399">
        <v>65</v>
      </c>
      <c r="S399" s="26">
        <v>74</v>
      </c>
      <c r="T399" s="25">
        <f>IFERROR(PROPERTIES[[#This Row],[TE_STARTING_KN]]/(PROPERTIES[[#This Row],[WEIGHT]]*9.81),0)</f>
        <v>0.10776175913790592</v>
      </c>
      <c r="U399" s="25">
        <v>0.17</v>
      </c>
      <c r="V399" s="22">
        <f>ROUND(IF(IFERROR(PROPERTIES[[#This Row],[TE_COEFFICIENT_CALC]],0)=0,PROPERTIES[[#This Row],[TE_COEFFICIENT_MANUAL]],PROPERTIES[[#This Row],[TE_COEFFICIENT_CALC]]),3)</f>
        <v>0.108</v>
      </c>
      <c r="W399" s="10" cm="1">
        <f t="array" ref="W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99" s="32">
        <v>0</v>
      </c>
      <c r="Y399" s="8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8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9" t="b">
        <v>0</v>
      </c>
      <c r="AY399"/>
      <c r="AZ399"/>
      <c r="BA399"/>
    </row>
    <row r="400" spans="1:53">
      <c r="A400" s="2" t="s">
        <v>420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t="s">
        <v>1740</v>
      </c>
      <c r="F400" t="str">
        <f>_xlfn.XLOOKUP(PROPERTIES[[#This Row],[COUNTRY]],COUNTRIES[COUNTRY_DESCRIPTION],COUNTRIES[COUNTRY_LABEL],"")</f>
        <v>CH</v>
      </c>
      <c r="G400" t="str" cm="1">
        <f t="array" ref="G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0" t="s">
        <v>19</v>
      </c>
      <c r="I400">
        <v>0</v>
      </c>
      <c r="J400">
        <v>8</v>
      </c>
      <c r="K400">
        <v>8</v>
      </c>
      <c r="L400" t="str" cm="1">
        <f t="array" ref="L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0">
        <f>_xlfn.XLOOKUP("LOADINGSPEEDDEF_"&amp;PROPERTIES[[#This Row],[LOADINGSPEED]],LOADINGSPEEDDEF[TYPE],LOADINGSPEEDDEF[SPEED])</f>
        <v>20</v>
      </c>
      <c r="N400" cm="1">
        <f t="array" ref="N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0">
        <f>IF(ISNUMBER(SEARCH("passenger",PROPERTIES[[#This Row],[CARGODEF]])),1,0)</f>
        <v>0</v>
      </c>
      <c r="P400" s="29">
        <v>120</v>
      </c>
      <c r="Q400">
        <v>5770</v>
      </c>
      <c r="R400">
        <v>120</v>
      </c>
      <c r="S400" s="26">
        <v>392</v>
      </c>
      <c r="T400" s="25">
        <f>IFERROR(PROPERTIES[[#This Row],[TE_STARTING_KN]]/(PROPERTIES[[#This Row],[WEIGHT]]*9.81),0)</f>
        <v>0.3329935440027183</v>
      </c>
      <c r="U400" s="25">
        <v>0.33</v>
      </c>
      <c r="V400" s="22">
        <f>ROUND(IF(IFERROR(PROPERTIES[[#This Row],[TE_COEFFICIENT_CALC]],0)=0,PROPERTIES[[#This Row],[TE_COEFFICIENT_MANUAL]],PROPERTIES[[#This Row],[TE_COEFFICIENT_CALC]]),3)</f>
        <v>0.33300000000000002</v>
      </c>
      <c r="W400" s="10" cm="1">
        <f t="array" ref="W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00" s="32">
        <v>0</v>
      </c>
      <c r="Y400" s="8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8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9" t="b">
        <v>0</v>
      </c>
      <c r="AY400"/>
      <c r="AZ400"/>
      <c r="BA400"/>
    </row>
    <row r="401" spans="1:53">
      <c r="A401" s="2" t="s">
        <v>421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t="s">
        <v>1740</v>
      </c>
      <c r="F401" t="str">
        <f>_xlfn.XLOOKUP(PROPERTIES[[#This Row],[COUNTRY]],COUNTRIES[COUNTRY_DESCRIPTION],COUNTRIES[COUNTRY_LABEL],"")</f>
        <v>CH</v>
      </c>
      <c r="G401" t="str" cm="1">
        <f t="array" ref="G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1" t="s">
        <v>19</v>
      </c>
      <c r="I401">
        <v>0</v>
      </c>
      <c r="J401">
        <v>8</v>
      </c>
      <c r="K401">
        <v>8</v>
      </c>
      <c r="L401" t="str" cm="1">
        <f t="array" ref="L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1">
        <f>_xlfn.XLOOKUP("LOADINGSPEEDDEF_"&amp;PROPERTIES[[#This Row],[LOADINGSPEED]],LOADINGSPEEDDEF[TYPE],LOADINGSPEEDDEF[SPEED])</f>
        <v>20</v>
      </c>
      <c r="N401" t="str" cm="1">
        <f t="array" ref="N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1">
        <f>IF(ISNUMBER(SEARCH("passenger",PROPERTIES[[#This Row],[CARGODEF]])),1,0)</f>
        <v>0</v>
      </c>
      <c r="P401" s="29">
        <v>84</v>
      </c>
      <c r="Q401">
        <v>7510</v>
      </c>
      <c r="R401">
        <v>230</v>
      </c>
      <c r="S401" s="26">
        <v>300</v>
      </c>
      <c r="T401" s="25">
        <f>IFERROR(PROPERTIES[[#This Row],[TE_STARTING_KN]]/(PROPERTIES[[#This Row],[WEIGHT]]*9.81),0)</f>
        <v>0.36405999708752002</v>
      </c>
      <c r="U401" s="25">
        <v>0.36</v>
      </c>
      <c r="V401" s="22">
        <f>ROUND(IF(IFERROR(PROPERTIES[[#This Row],[TE_COEFFICIENT_CALC]],0)=0,PROPERTIES[[#This Row],[TE_COEFFICIENT_MANUAL]],PROPERTIES[[#This Row],[TE_COEFFICIENT_CALC]]),3)</f>
        <v>0.36399999999999999</v>
      </c>
      <c r="W401" s="10" cm="1">
        <f t="array" ref="W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1" s="32">
        <v>0</v>
      </c>
      <c r="Y401" s="8">
        <v>0</v>
      </c>
      <c r="Z401" t="s">
        <v>3517</v>
      </c>
      <c r="AA401" t="s">
        <v>877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8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9" t="b">
        <v>0</v>
      </c>
      <c r="AY401"/>
      <c r="AZ401"/>
      <c r="BA401"/>
    </row>
    <row r="402" spans="1:53">
      <c r="A402" s="2" t="s">
        <v>422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t="s">
        <v>1740</v>
      </c>
      <c r="F402" t="str">
        <f>_xlfn.XLOOKUP(PROPERTIES[[#This Row],[COUNTRY]],COUNTRIES[COUNTRY_DESCRIPTION],COUNTRIES[COUNTRY_LABEL],"")</f>
        <v>CH</v>
      </c>
      <c r="G402" t="str" cm="1">
        <f t="array" ref="G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2" t="s">
        <v>19</v>
      </c>
      <c r="I402">
        <v>0</v>
      </c>
      <c r="J402">
        <v>5</v>
      </c>
      <c r="K402">
        <v>5</v>
      </c>
      <c r="L402" t="str" cm="1">
        <f t="array" ref="L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2">
        <f>_xlfn.XLOOKUP("LOADINGSPEEDDEF_"&amp;PROPERTIES[[#This Row],[LOADINGSPEED]],LOADINGSPEEDDEF[TYPE],LOADINGSPEEDDEF[SPEED])</f>
        <v>20</v>
      </c>
      <c r="N402" t="str" cm="1">
        <f t="array" ref="N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2">
        <f>IF(ISNUMBER(SEARCH("passenger",PROPERTIES[[#This Row],[CARGODEF]])),1,0)</f>
        <v>0</v>
      </c>
      <c r="P402" s="29">
        <v>45</v>
      </c>
      <c r="Q402">
        <v>2012</v>
      </c>
      <c r="R402">
        <v>120</v>
      </c>
      <c r="S402" s="26">
        <v>150</v>
      </c>
      <c r="T402" s="25">
        <f>IFERROR(PROPERTIES[[#This Row],[TE_STARTING_KN]]/(PROPERTIES[[#This Row],[WEIGHT]]*9.81),0)</f>
        <v>0.33978933061501865</v>
      </c>
      <c r="U402" s="25">
        <v>0.27</v>
      </c>
      <c r="V402" s="22">
        <f>ROUND(IF(IFERROR(PROPERTIES[[#This Row],[TE_COEFFICIENT_CALC]],0)=0,PROPERTIES[[#This Row],[TE_COEFFICIENT_MANUAL]],PROPERTIES[[#This Row],[TE_COEFFICIENT_CALC]]),3)</f>
        <v>0.34</v>
      </c>
      <c r="W402" s="10" cm="1">
        <f t="array" ref="W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2" s="32">
        <v>0</v>
      </c>
      <c r="Y402" s="8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8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9" t="b">
        <v>0</v>
      </c>
      <c r="AY402"/>
      <c r="AZ402"/>
      <c r="BA402"/>
    </row>
    <row r="403" spans="1:53">
      <c r="A403" s="2" t="s">
        <v>423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t="s">
        <v>1709</v>
      </c>
      <c r="F403" t="str">
        <f>_xlfn.XLOOKUP(PROPERTIES[[#This Row],[COUNTRY]],COUNTRIES[COUNTRY_DESCRIPTION],COUNTRIES[COUNTRY_LABEL],"")</f>
        <v>AT</v>
      </c>
      <c r="G403" t="str" cm="1">
        <f t="array" ref="G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3" t="s">
        <v>19</v>
      </c>
      <c r="I403">
        <v>0</v>
      </c>
      <c r="J403">
        <v>8</v>
      </c>
      <c r="K403">
        <v>8</v>
      </c>
      <c r="L403" t="str" cm="1">
        <f t="array" ref="L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3">
        <f>_xlfn.XLOOKUP("LOADINGSPEEDDEF_"&amp;PROPERTIES[[#This Row],[LOADINGSPEED]],LOADINGSPEEDDEF[TYPE],LOADINGSPEEDDEF[SPEED])</f>
        <v>20</v>
      </c>
      <c r="N403" cm="1">
        <f t="array" ref="N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3">
        <f>IF(ISNUMBER(SEARCH("passenger",PROPERTIES[[#This Row],[CARGODEF]])),1,0)</f>
        <v>0</v>
      </c>
      <c r="P403" s="29">
        <v>84</v>
      </c>
      <c r="Q403">
        <v>6970</v>
      </c>
      <c r="R403">
        <v>160</v>
      </c>
      <c r="S403" s="26">
        <v>341</v>
      </c>
      <c r="T403" s="25">
        <f>IFERROR(PROPERTIES[[#This Row],[TE_STARTING_KN]]/(PROPERTIES[[#This Row],[WEIGHT]]*9.81),0)</f>
        <v>0.4138148633561477</v>
      </c>
      <c r="U403" s="25">
        <v>0.39</v>
      </c>
      <c r="V403" s="22">
        <f>ROUND(IF(IFERROR(PROPERTIES[[#This Row],[TE_COEFFICIENT_CALC]],0)=0,PROPERTIES[[#This Row],[TE_COEFFICIENT_MANUAL]],PROPERTIES[[#This Row],[TE_COEFFICIENT_CALC]]),3)</f>
        <v>0.41399999999999998</v>
      </c>
      <c r="W403" s="10" cm="1">
        <f t="array" ref="W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403" s="32">
        <v>0</v>
      </c>
      <c r="Y403" s="8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8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9" t="b">
        <v>0</v>
      </c>
      <c r="AY403"/>
      <c r="AZ403"/>
      <c r="BA403"/>
    </row>
    <row r="404" spans="1:53">
      <c r="A404" s="2" t="s">
        <v>424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t="s">
        <v>1709</v>
      </c>
      <c r="F404" t="str">
        <f>_xlfn.XLOOKUP(PROPERTIES[[#This Row],[COUNTRY]],COUNTRIES[COUNTRY_DESCRIPTION],COUNTRIES[COUNTRY_LABEL],"")</f>
        <v>AT</v>
      </c>
      <c r="G404" t="str" cm="1">
        <f t="array" ref="G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4" t="s">
        <v>19</v>
      </c>
      <c r="I404">
        <v>0</v>
      </c>
      <c r="J404">
        <v>8</v>
      </c>
      <c r="K404">
        <v>8</v>
      </c>
      <c r="L404" t="str" cm="1">
        <f t="array" ref="L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4">
        <f>_xlfn.XLOOKUP("LOADINGSPEEDDEF_"&amp;PROPERTIES[[#This Row],[LOADINGSPEED]],LOADINGSPEEDDEF[TYPE],LOADINGSPEEDDEF[SPEED])</f>
        <v>20</v>
      </c>
      <c r="N404" cm="1">
        <f t="array" ref="N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4">
        <f>IF(ISNUMBER(SEARCH("passenger",PROPERTIES[[#This Row],[CARGODEF]])),1,0)</f>
        <v>0</v>
      </c>
      <c r="P404" s="29">
        <v>82</v>
      </c>
      <c r="Q404">
        <v>2680</v>
      </c>
      <c r="R404">
        <v>100</v>
      </c>
      <c r="S404" s="26">
        <v>260</v>
      </c>
      <c r="T404" s="25">
        <f>IFERROR(PROPERTIES[[#This Row],[TE_STARTING_KN]]/(PROPERTIES[[#This Row],[WEIGHT]]*9.81),0)</f>
        <v>0.32321424131672505</v>
      </c>
      <c r="U404" s="25">
        <v>0.32</v>
      </c>
      <c r="V404" s="22">
        <f>ROUND(IF(IFERROR(PROPERTIES[[#This Row],[TE_COEFFICIENT_CALC]],0)=0,PROPERTIES[[#This Row],[TE_COEFFICIENT_MANUAL]],PROPERTIES[[#This Row],[TE_COEFFICIENT_CALC]]),3)</f>
        <v>0.32300000000000001</v>
      </c>
      <c r="W404" s="10" cm="1">
        <f t="array" ref="W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4" s="32">
        <v>0</v>
      </c>
      <c r="Y404" s="8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8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9" t="b">
        <v>0</v>
      </c>
      <c r="AY404"/>
      <c r="AZ404"/>
      <c r="BA404"/>
    </row>
    <row r="405" spans="1:53">
      <c r="A405" s="2" t="s">
        <v>425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t="s">
        <v>1893</v>
      </c>
      <c r="F405" t="str">
        <f>_xlfn.XLOOKUP(PROPERTIES[[#This Row],[COUNTRY]],COUNTRIES[COUNTRY_DESCRIPTION],COUNTRIES[COUNTRY_LABEL],"")</f>
        <v>SE</v>
      </c>
      <c r="G405" t="str" cm="1">
        <f t="array" ref="G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5" t="s">
        <v>19</v>
      </c>
      <c r="I405">
        <v>0</v>
      </c>
      <c r="J405">
        <v>7</v>
      </c>
      <c r="K405">
        <v>21</v>
      </c>
      <c r="L405" t="str" cm="1">
        <f t="array" ref="L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5">
        <f>_xlfn.XLOOKUP("LOADINGSPEEDDEF_"&amp;PROPERTIES[[#This Row],[LOADINGSPEED]],LOADINGSPEEDDEF[TYPE],LOADINGSPEEDDEF[SPEED])</f>
        <v>20</v>
      </c>
      <c r="N405" cm="1">
        <f t="array" ref="N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5">
        <f>IF(ISNUMBER(SEARCH("passenger",PROPERTIES[[#This Row],[CARGODEF]])),1,0)</f>
        <v>0</v>
      </c>
      <c r="P405" s="29">
        <v>273</v>
      </c>
      <c r="Q405">
        <v>9700</v>
      </c>
      <c r="R405">
        <v>75</v>
      </c>
      <c r="S405" s="26">
        <v>940</v>
      </c>
      <c r="T405" s="25">
        <f>IFERROR(PROPERTIES[[#This Row],[TE_STARTING_KN]]/(PROPERTIES[[#This Row],[WEIGHT]]*9.81),0)</f>
        <v>0.35099117667925006</v>
      </c>
      <c r="U405" s="25">
        <v>0.34</v>
      </c>
      <c r="V405" s="22">
        <f>ROUND(IF(IFERROR(PROPERTIES[[#This Row],[TE_COEFFICIENT_CALC]],0)=0,PROPERTIES[[#This Row],[TE_COEFFICIENT_MANUAL]],PROPERTIES[[#This Row],[TE_COEFFICIENT_CALC]]),3)</f>
        <v>0.35099999999999998</v>
      </c>
      <c r="W405" s="10" cm="1">
        <f t="array" ref="W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5" s="32">
        <v>0</v>
      </c>
      <c r="Y405" s="8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8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9" t="b">
        <v>0</v>
      </c>
      <c r="AY405"/>
      <c r="AZ405"/>
      <c r="BA405"/>
    </row>
    <row r="406" spans="1:53">
      <c r="A406" s="2" t="s">
        <v>426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t="s">
        <v>1893</v>
      </c>
      <c r="F406" t="str">
        <f>_xlfn.XLOOKUP(PROPERTIES[[#This Row],[COUNTRY]],COUNTRIES[COUNTRY_DESCRIPTION],COUNTRIES[COUNTRY_LABEL],"")</f>
        <v>SE</v>
      </c>
      <c r="G406" t="str" cm="1">
        <f t="array" ref="G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6" t="s">
        <v>19</v>
      </c>
      <c r="I406">
        <v>0</v>
      </c>
      <c r="J406">
        <v>8</v>
      </c>
      <c r="K406">
        <v>16</v>
      </c>
      <c r="L406" t="str" cm="1">
        <f t="array" ref="L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6">
        <f>_xlfn.XLOOKUP("LOADINGSPEEDDEF_"&amp;PROPERTIES[[#This Row],[LOADINGSPEED]],LOADINGSPEEDDEF[TYPE],LOADINGSPEEDDEF[SPEED])</f>
        <v>20</v>
      </c>
      <c r="N406" t="str" cm="1">
        <f t="array" ref="N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6">
        <f>IF(ISNUMBER(SEARCH("passenger",PROPERTIES[[#This Row],[CARGODEF]])),1,0)</f>
        <v>0</v>
      </c>
      <c r="P406" s="29">
        <f>180*2</f>
        <v>360</v>
      </c>
      <c r="Q406">
        <f>7200*2</f>
        <v>14400</v>
      </c>
      <c r="R406">
        <v>80</v>
      </c>
      <c r="S406" s="26">
        <f>600*2</f>
        <v>1200</v>
      </c>
      <c r="T406" s="25">
        <f>IFERROR(PROPERTIES[[#This Row],[TE_STARTING_KN]]/(PROPERTIES[[#This Row],[WEIGHT]]*9.81),0)</f>
        <v>0.33978933061501865</v>
      </c>
      <c r="U406" s="25">
        <v>0.39</v>
      </c>
      <c r="V406" s="22">
        <f>ROUND(IF(IFERROR(PROPERTIES[[#This Row],[TE_COEFFICIENT_CALC]],0)=0,PROPERTIES[[#This Row],[TE_COEFFICIENT_MANUAL]],PROPERTIES[[#This Row],[TE_COEFFICIENT_CALC]]),3)</f>
        <v>0.34</v>
      </c>
      <c r="W406" s="10" cm="1">
        <f t="array" ref="W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6" s="32">
        <v>0</v>
      </c>
      <c r="Y406" s="8">
        <v>8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8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9" t="b">
        <v>0</v>
      </c>
      <c r="AY406"/>
      <c r="AZ406"/>
      <c r="BA406"/>
    </row>
    <row r="407" spans="1:53">
      <c r="A407" s="2" t="s">
        <v>427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t="s">
        <v>1893</v>
      </c>
      <c r="F407" t="str">
        <f>_xlfn.XLOOKUP(PROPERTIES[[#This Row],[COUNTRY]],COUNTRIES[COUNTRY_DESCRIPTION],COUNTRIES[COUNTRY_LABEL],"")</f>
        <v>SE</v>
      </c>
      <c r="G407" t="str" cm="1">
        <f t="array" ref="G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7" t="s">
        <v>19</v>
      </c>
      <c r="I407">
        <v>0</v>
      </c>
      <c r="J407">
        <v>6</v>
      </c>
      <c r="K407">
        <v>12</v>
      </c>
      <c r="L407" t="str" cm="1">
        <f t="array" ref="L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7">
        <f>_xlfn.XLOOKUP("LOADINGSPEEDDEF_"&amp;PROPERTIES[[#This Row],[LOADINGSPEED]],LOADINGSPEEDDEF[TYPE],LOADINGSPEEDDEF[SPEED])</f>
        <v>20</v>
      </c>
      <c r="N407" cm="1">
        <f t="array" ref="N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7">
        <f>IF(ISNUMBER(SEARCH("passenger",PROPERTIES[[#This Row],[CARGODEF]])),1,0)</f>
        <v>0</v>
      </c>
      <c r="P407" s="29">
        <v>125</v>
      </c>
      <c r="Q407">
        <v>1600</v>
      </c>
      <c r="R407">
        <v>60</v>
      </c>
      <c r="S407" s="26">
        <v>248</v>
      </c>
      <c r="T407" s="25">
        <f>IFERROR(PROPERTIES[[#This Row],[TE_STARTING_KN]]/(PROPERTIES[[#This Row],[WEIGHT]]*9.81),0)</f>
        <v>0.20224260958205911</v>
      </c>
      <c r="U407" s="25">
        <v>0.2</v>
      </c>
      <c r="V407" s="22">
        <f>ROUND(IF(IFERROR(PROPERTIES[[#This Row],[TE_COEFFICIENT_CALC]],0)=0,PROPERTIES[[#This Row],[TE_COEFFICIENT_MANUAL]],PROPERTIES[[#This Row],[TE_COEFFICIENT_CALC]]),3)</f>
        <v>0.20200000000000001</v>
      </c>
      <c r="W407" s="10" cm="1">
        <f t="array" ref="W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7" s="32">
        <v>0</v>
      </c>
      <c r="Y407" s="8">
        <v>6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8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9" t="b">
        <v>0</v>
      </c>
      <c r="AY407"/>
      <c r="AZ407"/>
      <c r="BA407"/>
    </row>
    <row r="408" spans="1:53">
      <c r="A408" s="2" t="s">
        <v>428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t="s">
        <v>1893</v>
      </c>
      <c r="F408" t="str">
        <f>_xlfn.XLOOKUP(PROPERTIES[[#This Row],[COUNTRY]],COUNTRIES[COUNTRY_DESCRIPTION],COUNTRIES[COUNTRY_LABEL],"")</f>
        <v>SE</v>
      </c>
      <c r="G408" t="str" cm="1">
        <f t="array" ref="G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8" t="s">
        <v>19</v>
      </c>
      <c r="I408">
        <v>0</v>
      </c>
      <c r="J408">
        <v>8</v>
      </c>
      <c r="K408">
        <v>8</v>
      </c>
      <c r="L408" t="str" cm="1">
        <f t="array" ref="L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8">
        <f>_xlfn.XLOOKUP("LOADINGSPEEDDEF_"&amp;PROPERTIES[[#This Row],[LOADINGSPEED]],LOADINGSPEEDDEF[TYPE],LOADINGSPEEDDEF[SPEED])</f>
        <v>20</v>
      </c>
      <c r="N408" cm="1">
        <f t="array" ref="N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8">
        <f>IF(ISNUMBER(SEARCH("passenger",PROPERTIES[[#This Row],[CARGODEF]])),1,0)</f>
        <v>0</v>
      </c>
      <c r="P408" s="29">
        <v>102</v>
      </c>
      <c r="Q408">
        <v>3460</v>
      </c>
      <c r="R408">
        <v>135</v>
      </c>
      <c r="S408" s="26">
        <v>203</v>
      </c>
      <c r="T408" s="25">
        <f>IFERROR(PROPERTIES[[#This Row],[TE_STARTING_KN]]/(PROPERTIES[[#This Row],[WEIGHT]]*9.81),0)</f>
        <v>0.20287421798484939</v>
      </c>
      <c r="U408" s="25">
        <v>0.2</v>
      </c>
      <c r="V408" s="22">
        <f>ROUND(IF(IFERROR(PROPERTIES[[#This Row],[TE_COEFFICIENT_CALC]],0)=0,PROPERTIES[[#This Row],[TE_COEFFICIENT_MANUAL]],PROPERTIES[[#This Row],[TE_COEFFICIENT_CALC]]),3)</f>
        <v>0.20300000000000001</v>
      </c>
      <c r="W408" s="10" cm="1">
        <f t="array" ref="W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08" s="32">
        <v>0</v>
      </c>
      <c r="Y408" s="8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8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9" t="b">
        <v>0</v>
      </c>
      <c r="AY408"/>
      <c r="AZ408"/>
      <c r="BA408"/>
    </row>
    <row r="409" spans="1:53">
      <c r="A409" s="2" t="s">
        <v>429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t="s">
        <v>1863</v>
      </c>
      <c r="F409" t="str">
        <f>_xlfn.XLOOKUP(PROPERTIES[[#This Row],[COUNTRY]],COUNTRIES[COUNTRY_DESCRIPTION],COUNTRIES[COUNTRY_LABEL],"")</f>
        <v>NO</v>
      </c>
      <c r="G409" t="str" cm="1">
        <f t="array" ref="G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9" t="s">
        <v>19</v>
      </c>
      <c r="I409">
        <v>0</v>
      </c>
      <c r="J409">
        <v>7</v>
      </c>
      <c r="K409">
        <v>7</v>
      </c>
      <c r="L409" t="str" cm="1">
        <f t="array" ref="L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9">
        <f>_xlfn.XLOOKUP("LOADINGSPEEDDEF_"&amp;PROPERTIES[[#This Row],[LOADINGSPEED]],LOADINGSPEEDDEF[TYPE],LOADINGSPEEDDEF[SPEED])</f>
        <v>20</v>
      </c>
      <c r="N409" cm="1">
        <f t="array" ref="N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9">
        <f>IF(ISNUMBER(SEARCH("passenger",PROPERTIES[[#This Row],[CARGODEF]])),1,0)</f>
        <v>0</v>
      </c>
      <c r="P409" s="29">
        <v>64</v>
      </c>
      <c r="Q409">
        <v>4000</v>
      </c>
      <c r="R409">
        <v>150</v>
      </c>
      <c r="S409" s="26">
        <v>240</v>
      </c>
      <c r="T409" s="25">
        <f>IFERROR(PROPERTIES[[#This Row],[TE_STARTING_KN]]/(PROPERTIES[[#This Row],[WEIGHT]]*9.81),0)</f>
        <v>0.38226299694189603</v>
      </c>
      <c r="U409" s="25">
        <v>0.38</v>
      </c>
      <c r="V409" s="22">
        <f>ROUND(IF(IFERROR(PROPERTIES[[#This Row],[TE_COEFFICIENT_CALC]],0)=0,PROPERTIES[[#This Row],[TE_COEFFICIENT_MANUAL]],PROPERTIES[[#This Row],[TE_COEFFICIENT_CALC]]),3)</f>
        <v>0.38200000000000001</v>
      </c>
      <c r="W409" s="10" cm="1">
        <f t="array" ref="W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9" s="32">
        <v>0</v>
      </c>
      <c r="Y409" s="8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8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9" t="b">
        <v>0</v>
      </c>
      <c r="AY409"/>
      <c r="AZ409"/>
      <c r="BA409"/>
    </row>
    <row r="410" spans="1:53">
      <c r="A410" s="2" t="s">
        <v>430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t="s">
        <v>1754</v>
      </c>
      <c r="F410" t="str">
        <f>_xlfn.XLOOKUP(PROPERTIES[[#This Row],[COUNTRY]],COUNTRIES[COUNTRY_DESCRIPTION],COUNTRIES[COUNTRY_LABEL],"")</f>
        <v>DE</v>
      </c>
      <c r="G410" t="str" cm="1">
        <f t="array" ref="G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0" t="s">
        <v>19</v>
      </c>
      <c r="I410">
        <v>0</v>
      </c>
      <c r="J410">
        <v>6</v>
      </c>
      <c r="K410">
        <v>6</v>
      </c>
      <c r="L410" t="str" cm="1">
        <f t="array" ref="L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0">
        <f>_xlfn.XLOOKUP("LOADINGSPEEDDEF_"&amp;PROPERTIES[[#This Row],[LOADINGSPEED]],LOADINGSPEEDDEF[TYPE],LOADINGSPEEDDEF[SPEED])</f>
        <v>20</v>
      </c>
      <c r="N410" cm="1">
        <f t="array" ref="N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0">
        <f>IF(ISNUMBER(SEARCH("passenger",PROPERTIES[[#This Row],[CARGODEF]])),1,0)</f>
        <v>0</v>
      </c>
      <c r="P410" s="29">
        <v>81</v>
      </c>
      <c r="Q410">
        <v>1186</v>
      </c>
      <c r="R410">
        <v>100</v>
      </c>
      <c r="S410" s="26">
        <v>81</v>
      </c>
      <c r="T410" s="25">
        <f>IFERROR(PROPERTIES[[#This Row],[TE_STARTING_KN]]/(PROPERTIES[[#This Row],[WEIGHT]]*9.81),0)</f>
        <v>0.1019367991845056</v>
      </c>
      <c r="U410" s="25">
        <v>0.1</v>
      </c>
      <c r="V410" s="22">
        <f>ROUND(IF(IFERROR(PROPERTIES[[#This Row],[TE_COEFFICIENT_CALC]],0)=0,PROPERTIES[[#This Row],[TE_COEFFICIENT_MANUAL]],PROPERTIES[[#This Row],[TE_COEFFICIENT_CALC]]),3)</f>
        <v>0.10199999999999999</v>
      </c>
      <c r="W410" s="10" cm="1">
        <f t="array" ref="W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0" s="32">
        <v>0</v>
      </c>
      <c r="Y410" s="8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8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9" t="b">
        <v>0</v>
      </c>
      <c r="AY410"/>
      <c r="AZ410"/>
      <c r="BA410"/>
    </row>
    <row r="411" spans="1:53">
      <c r="A411" s="2" t="s">
        <v>431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t="s">
        <v>1928</v>
      </c>
      <c r="F411" t="str">
        <f>_xlfn.XLOOKUP(PROPERTIES[[#This Row],[COUNTRY]],COUNTRIES[COUNTRY_DESCRIPTION],COUNTRIES[COUNTRY_LABEL],"")</f>
        <v>US</v>
      </c>
      <c r="G411" t="str" cm="1">
        <f t="array" ref="G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1" t="s">
        <v>19</v>
      </c>
      <c r="I411">
        <v>0</v>
      </c>
      <c r="J411">
        <v>8</v>
      </c>
      <c r="K411">
        <v>16</v>
      </c>
      <c r="L411" t="str" cm="1">
        <f t="array" ref="L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1">
        <f>_xlfn.XLOOKUP("LOADINGSPEEDDEF_"&amp;PROPERTIES[[#This Row],[LOADINGSPEED]],LOADINGSPEEDDEF[TYPE],LOADINGSPEEDDEF[SPEED])</f>
        <v>20</v>
      </c>
      <c r="N411" cm="1">
        <f t="array" ref="N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1">
        <f>IF(ISNUMBER(SEARCH("passenger",PROPERTIES[[#This Row],[CARGODEF]])),1,0)</f>
        <v>0</v>
      </c>
      <c r="P411" s="29">
        <v>450</v>
      </c>
      <c r="Q411">
        <v>6800</v>
      </c>
      <c r="R411">
        <v>80</v>
      </c>
      <c r="S411" s="26">
        <v>1200</v>
      </c>
      <c r="T411" s="25">
        <f>IFERROR(PROPERTIES[[#This Row],[TE_STARTING_KN]]/(PROPERTIES[[#This Row],[WEIGHT]]*9.81),0)</f>
        <v>0.27183146449201495</v>
      </c>
      <c r="U411" s="25">
        <v>0.16</v>
      </c>
      <c r="V411" s="22">
        <f>ROUND(IF(IFERROR(PROPERTIES[[#This Row],[TE_COEFFICIENT_CALC]],0)=0,PROPERTIES[[#This Row],[TE_COEFFICIENT_MANUAL]],PROPERTIES[[#This Row],[TE_COEFFICIENT_CALC]]),3)</f>
        <v>0.27200000000000002</v>
      </c>
      <c r="W411" s="10" cm="1">
        <f t="array" ref="W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1" s="32">
        <v>0</v>
      </c>
      <c r="Y411" s="8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8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9" t="b">
        <v>0</v>
      </c>
      <c r="AY411"/>
      <c r="AZ411"/>
      <c r="BA411"/>
    </row>
    <row r="412" spans="1:53">
      <c r="A412" s="2" t="s">
        <v>432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t="s">
        <v>1928</v>
      </c>
      <c r="F412" t="str">
        <f>_xlfn.XLOOKUP(PROPERTIES[[#This Row],[COUNTRY]],COUNTRIES[COUNTRY_DESCRIPTION],COUNTRIES[COUNTRY_LABEL],"")</f>
        <v>US</v>
      </c>
      <c r="G412" t="str" cm="1">
        <f t="array" ref="G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2" t="s">
        <v>19</v>
      </c>
      <c r="I412">
        <v>0</v>
      </c>
      <c r="J412">
        <v>8</v>
      </c>
      <c r="K412">
        <v>8</v>
      </c>
      <c r="L412" t="str" cm="1">
        <f t="array" ref="L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2">
        <f>_xlfn.XLOOKUP("LOADINGSPEEDDEF_"&amp;PROPERTIES[[#This Row],[LOADINGSPEED]],LOADINGSPEEDDEF[TYPE],LOADINGSPEEDDEF[SPEED])</f>
        <v>20</v>
      </c>
      <c r="N412" cm="1">
        <f t="array" ref="N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2">
        <f>IF(ISNUMBER(SEARCH("passenger",PROPERTIES[[#This Row],[CARGODEF]])),1,0)</f>
        <v>0</v>
      </c>
      <c r="P412" s="29">
        <v>330</v>
      </c>
      <c r="Q412">
        <v>5000</v>
      </c>
      <c r="R412">
        <v>105</v>
      </c>
      <c r="S412" s="26">
        <v>530</v>
      </c>
      <c r="T412" s="25">
        <f>IFERROR(PROPERTIES[[#This Row],[TE_STARTING_KN]]/(PROPERTIES[[#This Row],[WEIGHT]]*9.81),0)</f>
        <v>0.16371667747814536</v>
      </c>
      <c r="U412" s="25">
        <v>0.16</v>
      </c>
      <c r="V412" s="22">
        <f>ROUND(IF(IFERROR(PROPERTIES[[#This Row],[TE_COEFFICIENT_CALC]],0)=0,PROPERTIES[[#This Row],[TE_COEFFICIENT_MANUAL]],PROPERTIES[[#This Row],[TE_COEFFICIENT_CALC]]),3)</f>
        <v>0.16400000000000001</v>
      </c>
      <c r="W412" s="10" cm="1">
        <f t="array" ref="W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2" s="32">
        <v>0</v>
      </c>
      <c r="Y412" s="8">
        <v>4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8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9" t="b">
        <v>0</v>
      </c>
      <c r="AY412"/>
      <c r="AZ412"/>
      <c r="BA412"/>
    </row>
    <row r="413" spans="1:53">
      <c r="A413" s="2" t="s">
        <v>433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t="s">
        <v>1928</v>
      </c>
      <c r="F413" t="str">
        <f>_xlfn.XLOOKUP(PROPERTIES[[#This Row],[COUNTRY]],COUNTRIES[COUNTRY_DESCRIPTION],COUNTRIES[COUNTRY_LABEL],"")</f>
        <v>US</v>
      </c>
      <c r="G413" t="str" cm="1">
        <f t="array" ref="G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3" t="s">
        <v>19</v>
      </c>
      <c r="I413">
        <v>0</v>
      </c>
      <c r="J413">
        <v>4</v>
      </c>
      <c r="K413">
        <v>4</v>
      </c>
      <c r="L413" t="str" cm="1">
        <f t="array" ref="L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3">
        <f>_xlfn.XLOOKUP("LOADINGSPEEDDEF_"&amp;PROPERTIES[[#This Row],[LOADINGSPEED]],LOADINGSPEEDDEF[TYPE],LOADINGSPEEDDEF[SPEED])</f>
        <v>20</v>
      </c>
      <c r="N413" cm="1">
        <f t="array" ref="N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3">
        <f>IF(ISNUMBER(SEARCH("passenger",PROPERTIES[[#This Row],[CARGODEF]])),1,0)</f>
        <v>0</v>
      </c>
      <c r="P413" s="29">
        <v>71</v>
      </c>
      <c r="Q413">
        <v>700</v>
      </c>
      <c r="R413">
        <v>40</v>
      </c>
      <c r="S413" s="26">
        <v>174.6</v>
      </c>
      <c r="T413" s="25">
        <f>IFERROR(PROPERTIES[[#This Row],[TE_STARTING_KN]]/(PROPERTIES[[#This Row],[WEIGHT]]*9.81),0)</f>
        <v>0.25067838221992506</v>
      </c>
      <c r="U413" s="25">
        <v>0.25</v>
      </c>
      <c r="V413" s="22">
        <f>ROUND(IF(IFERROR(PROPERTIES[[#This Row],[TE_COEFFICIENT_CALC]],0)=0,PROPERTIES[[#This Row],[TE_COEFFICIENT_MANUAL]],PROPERTIES[[#This Row],[TE_COEFFICIENT_CALC]]),3)</f>
        <v>0.251</v>
      </c>
      <c r="W413" s="10" cm="1">
        <f t="array" ref="W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3" s="32">
        <v>0</v>
      </c>
      <c r="Y413" s="8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8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9" t="b">
        <v>0</v>
      </c>
      <c r="AY413"/>
      <c r="AZ413"/>
      <c r="BA413"/>
    </row>
    <row r="414" spans="1:53">
      <c r="A414" s="2" t="s">
        <v>434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t="s">
        <v>1710</v>
      </c>
      <c r="F414" t="str">
        <f>_xlfn.XLOOKUP(PROPERTIES[[#This Row],[COUNTRY]],COUNTRIES[COUNTRY_DESCRIPTION],COUNTRIES[COUNTRY_LABEL],"")</f>
        <v>AU</v>
      </c>
      <c r="G414" t="str" cm="1">
        <f t="array" ref="G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4" t="s">
        <v>19</v>
      </c>
      <c r="I414">
        <v>0</v>
      </c>
      <c r="J414">
        <v>8</v>
      </c>
      <c r="K414">
        <v>8</v>
      </c>
      <c r="L414" t="str" cm="1">
        <f t="array" ref="L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4">
        <f>_xlfn.XLOOKUP("LOADINGSPEEDDEF_"&amp;PROPERTIES[[#This Row],[LOADINGSPEED]],LOADINGSPEEDDEF[TYPE],LOADINGSPEEDDEF[SPEED])</f>
        <v>20</v>
      </c>
      <c r="N414" t="str" cm="1">
        <f t="array" ref="N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4">
        <f>IF(ISNUMBER(SEARCH("passenger",PROPERTIES[[#This Row],[CARGODEF]])),1,0)</f>
        <v>0</v>
      </c>
      <c r="P414" s="29">
        <v>109</v>
      </c>
      <c r="Q414">
        <v>5360</v>
      </c>
      <c r="R414">
        <v>80</v>
      </c>
      <c r="S414" s="26">
        <v>450</v>
      </c>
      <c r="T414" s="25">
        <f>IFERROR(PROPERTIES[[#This Row],[TE_STARTING_KN]]/(PROPERTIES[[#This Row],[WEIGHT]]*9.81),0)</f>
        <v>0.42083999663328003</v>
      </c>
      <c r="U414" s="25">
        <v>0.41</v>
      </c>
      <c r="V414" s="22">
        <f>ROUND(IF(IFERROR(PROPERTIES[[#This Row],[TE_COEFFICIENT_CALC]],0)=0,PROPERTIES[[#This Row],[TE_COEFFICIENT_MANUAL]],PROPERTIES[[#This Row],[TE_COEFFICIENT_CALC]]),3)</f>
        <v>0.42099999999999999</v>
      </c>
      <c r="W414" s="10" cm="1">
        <f t="array" ref="W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4" s="32">
        <v>0</v>
      </c>
      <c r="Y414" s="8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8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9" t="b">
        <v>0</v>
      </c>
      <c r="AY414"/>
      <c r="AZ414"/>
      <c r="BA414"/>
    </row>
    <row r="415" spans="1:53">
      <c r="A415" s="2" t="s">
        <v>435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t="s">
        <v>1745</v>
      </c>
      <c r="F415" t="str">
        <f>_xlfn.XLOOKUP(PROPERTIES[[#This Row],[COUNTRY]],COUNTRIES[COUNTRY_DESCRIPTION],COUNTRIES[COUNTRY_LABEL],"")</f>
        <v>CN</v>
      </c>
      <c r="G415" t="str" cm="1">
        <f t="array" ref="G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5" t="s">
        <v>19</v>
      </c>
      <c r="I415">
        <v>0</v>
      </c>
      <c r="J415">
        <v>8</v>
      </c>
      <c r="K415">
        <v>8</v>
      </c>
      <c r="L415" t="str" cm="1">
        <f t="array" ref="L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5">
        <f>_xlfn.XLOOKUP("LOADINGSPEEDDEF_"&amp;PROPERTIES[[#This Row],[LOADINGSPEED]],LOADINGSPEEDDEF[TYPE],LOADINGSPEEDDEF[SPEED])</f>
        <v>20</v>
      </c>
      <c r="N415" t="str" cm="1">
        <f t="array" ref="N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5">
        <f>IF(ISNUMBER(SEARCH("passenger",PROPERTIES[[#This Row],[CARGODEF]])),1,0)</f>
        <v>0</v>
      </c>
      <c r="P415" s="29">
        <v>138</v>
      </c>
      <c r="Q415">
        <v>6400</v>
      </c>
      <c r="R415">
        <v>100</v>
      </c>
      <c r="S415" s="26">
        <v>485</v>
      </c>
      <c r="T415" s="25">
        <f>IFERROR(PROPERTIES[[#This Row],[TE_STARTING_KN]]/(PROPERTIES[[#This Row],[WEIGHT]]*9.81),0)</f>
        <v>0.35825614206148709</v>
      </c>
      <c r="U415" s="25">
        <v>0.35</v>
      </c>
      <c r="V415" s="22">
        <f>ROUND(IF(IFERROR(PROPERTIES[[#This Row],[TE_COEFFICIENT_CALC]],0)=0,PROPERTIES[[#This Row],[TE_COEFFICIENT_MANUAL]],PROPERTIES[[#This Row],[TE_COEFFICIENT_CALC]]),3)</f>
        <v>0.35799999999999998</v>
      </c>
      <c r="W415" s="10" cm="1">
        <f t="array" ref="W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5" s="32">
        <v>0</v>
      </c>
      <c r="Y415" s="8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8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9" t="b">
        <v>0</v>
      </c>
      <c r="AY415"/>
      <c r="AZ415"/>
      <c r="BA415"/>
    </row>
    <row r="416" spans="1:53">
      <c r="A416" s="2" t="s">
        <v>436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t="s">
        <v>1745</v>
      </c>
      <c r="F416" t="str">
        <f>_xlfn.XLOOKUP(PROPERTIES[[#This Row],[COUNTRY]],COUNTRIES[COUNTRY_DESCRIPTION],COUNTRIES[COUNTRY_LABEL],"")</f>
        <v>CN</v>
      </c>
      <c r="G416" t="str" cm="1">
        <f t="array" ref="G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6" t="s">
        <v>19</v>
      </c>
      <c r="I416">
        <v>0</v>
      </c>
      <c r="J416">
        <v>8</v>
      </c>
      <c r="K416">
        <v>8</v>
      </c>
      <c r="L416" t="str" cm="1">
        <f t="array" ref="L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6">
        <f>_xlfn.XLOOKUP("LOADINGSPEEDDEF_"&amp;PROPERTIES[[#This Row],[LOADINGSPEED]],LOADINGSPEEDDEF[TYPE],LOADINGSPEEDDEF[SPEED])</f>
        <v>20</v>
      </c>
      <c r="N416" cm="1">
        <f t="array" ref="N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6">
        <f>IF(ISNUMBER(SEARCH("passenger",PROPERTIES[[#This Row],[CARGODEF]])),1,0)</f>
        <v>0</v>
      </c>
      <c r="P416" s="29">
        <v>138</v>
      </c>
      <c r="Q416">
        <v>5793</v>
      </c>
      <c r="R416">
        <v>100</v>
      </c>
      <c r="S416" s="26">
        <v>470</v>
      </c>
      <c r="T416" s="25">
        <f>IFERROR(PROPERTIES[[#This Row],[TE_STARTING_KN]]/(PROPERTIES[[#This Row],[WEIGHT]]*9.81),0)</f>
        <v>0.34717605519360606</v>
      </c>
      <c r="U416" s="25">
        <v>0.34</v>
      </c>
      <c r="V416" s="22">
        <f>ROUND(IF(IFERROR(PROPERTIES[[#This Row],[TE_COEFFICIENT_CALC]],0)=0,PROPERTIES[[#This Row],[TE_COEFFICIENT_MANUAL]],PROPERTIES[[#This Row],[TE_COEFFICIENT_CALC]]),3)</f>
        <v>0.34699999999999998</v>
      </c>
      <c r="W416" s="10" cm="1">
        <f t="array" ref="W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6" s="32">
        <v>0</v>
      </c>
      <c r="Y416" s="8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8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9" t="b">
        <v>0</v>
      </c>
      <c r="AY416"/>
      <c r="AZ416"/>
      <c r="BA416"/>
    </row>
    <row r="417" spans="1:53">
      <c r="A417" s="2" t="s">
        <v>437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t="s">
        <v>1745</v>
      </c>
      <c r="F417" t="str">
        <f>_xlfn.XLOOKUP(PROPERTIES[[#This Row],[COUNTRY]],COUNTRIES[COUNTRY_DESCRIPTION],COUNTRIES[COUNTRY_LABEL],"")</f>
        <v>CN</v>
      </c>
      <c r="G417" t="str" cm="1">
        <f t="array" ref="G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7" t="s">
        <v>19</v>
      </c>
      <c r="I417">
        <v>0</v>
      </c>
      <c r="J417">
        <v>8</v>
      </c>
      <c r="K417">
        <v>8</v>
      </c>
      <c r="L417" t="str" cm="1">
        <f t="array" ref="L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7">
        <f>_xlfn.XLOOKUP("LOADINGSPEEDDEF_"&amp;PROPERTIES[[#This Row],[LOADINGSPEED]],LOADINGSPEEDDEF[TYPE],LOADINGSPEEDDEF[SPEED])</f>
        <v>20</v>
      </c>
      <c r="N417" t="str" cm="1">
        <f t="array" ref="N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7">
        <f>IF(ISNUMBER(SEARCH("passenger",PROPERTIES[[#This Row],[CARGODEF]])),1,0)</f>
        <v>0</v>
      </c>
      <c r="P417" s="29">
        <v>150</v>
      </c>
      <c r="Q417">
        <v>9700</v>
      </c>
      <c r="R417">
        <v>120</v>
      </c>
      <c r="S417" s="26">
        <v>520</v>
      </c>
      <c r="T417" s="25">
        <f>IFERROR(PROPERTIES[[#This Row],[TE_STARTING_KN]]/(PROPERTIES[[#This Row],[WEIGHT]]*9.81),0)</f>
        <v>0.35338090383961945</v>
      </c>
      <c r="U417" s="25">
        <v>0.27</v>
      </c>
      <c r="V417" s="22">
        <f>ROUND(IF(IFERROR(PROPERTIES[[#This Row],[TE_COEFFICIENT_CALC]],0)=0,PROPERTIES[[#This Row],[TE_COEFFICIENT_MANUAL]],PROPERTIES[[#This Row],[TE_COEFFICIENT_CALC]]),3)</f>
        <v>0.35299999999999998</v>
      </c>
      <c r="W417" s="10" cm="1">
        <f t="array" ref="W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7" s="32">
        <v>0</v>
      </c>
      <c r="Y417" s="8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8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9" t="b">
        <v>0</v>
      </c>
      <c r="AY417"/>
      <c r="AZ417"/>
      <c r="BA417"/>
    </row>
    <row r="418" spans="1:53">
      <c r="A418" s="2" t="s">
        <v>438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t="s">
        <v>1745</v>
      </c>
      <c r="F418" t="str">
        <f>_xlfn.XLOOKUP(PROPERTIES[[#This Row],[COUNTRY]],COUNTRIES[COUNTRY_DESCRIPTION],COUNTRIES[COUNTRY_LABEL],"")</f>
        <v>CN</v>
      </c>
      <c r="G418" t="str" cm="1">
        <f t="array" ref="G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8" t="s">
        <v>19</v>
      </c>
      <c r="I418">
        <v>0</v>
      </c>
      <c r="J418">
        <v>8</v>
      </c>
      <c r="K418">
        <v>8</v>
      </c>
      <c r="L418" t="str" cm="1">
        <f t="array" ref="L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8">
        <f>_xlfn.XLOOKUP("LOADINGSPEEDDEF_"&amp;PROPERTIES[[#This Row],[LOADINGSPEED]],LOADINGSPEEDDEF[TYPE],LOADINGSPEEDDEF[SPEED])</f>
        <v>20</v>
      </c>
      <c r="N418" t="str" cm="1">
        <f t="array" ref="N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8">
        <f>IF(ISNUMBER(SEARCH("passenger",PROPERTIES[[#This Row],[CARGODEF]])),1,0)</f>
        <v>0</v>
      </c>
      <c r="P418" s="29">
        <v>126</v>
      </c>
      <c r="Q418">
        <v>9700</v>
      </c>
      <c r="R418">
        <v>160</v>
      </c>
      <c r="S418" s="26">
        <v>420</v>
      </c>
      <c r="T418" s="25">
        <f>IFERROR(PROPERTIES[[#This Row],[TE_STARTING_KN]]/(PROPERTIES[[#This Row],[WEIGHT]]*9.81),0)</f>
        <v>0.33978933061501865</v>
      </c>
      <c r="U418" s="25">
        <v>0.33</v>
      </c>
      <c r="V418" s="22">
        <f>ROUND(IF(IFERROR(PROPERTIES[[#This Row],[TE_COEFFICIENT_CALC]],0)=0,PROPERTIES[[#This Row],[TE_COEFFICIENT_MANUAL]],PROPERTIES[[#This Row],[TE_COEFFICIENT_CALC]]),3)</f>
        <v>0.34</v>
      </c>
      <c r="W418" s="10" cm="1">
        <f t="array" ref="W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8" s="32">
        <v>0</v>
      </c>
      <c r="Y418" s="8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8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9" t="b">
        <v>0</v>
      </c>
      <c r="AY418"/>
      <c r="AZ418"/>
      <c r="BA418"/>
    </row>
    <row r="419" spans="1:53">
      <c r="A419" s="2" t="s">
        <v>439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t="s">
        <v>1745</v>
      </c>
      <c r="F419" t="str">
        <f>_xlfn.XLOOKUP(PROPERTIES[[#This Row],[COUNTRY]],COUNTRIES[COUNTRY_DESCRIPTION],COUNTRIES[COUNTRY_LABEL],"")</f>
        <v>CN</v>
      </c>
      <c r="G419" t="str" cm="1">
        <f t="array" ref="G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9" t="s">
        <v>19</v>
      </c>
      <c r="I419">
        <v>0</v>
      </c>
      <c r="J419">
        <v>8</v>
      </c>
      <c r="K419">
        <v>8</v>
      </c>
      <c r="L419" t="str" cm="1">
        <f t="array" ref="L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9">
        <f>_xlfn.XLOOKUP("LOADINGSPEEDDEF_"&amp;PROPERTIES[[#This Row],[LOADINGSPEED]],LOADINGSPEEDDEF[TYPE],LOADINGSPEEDDEF[SPEED])</f>
        <v>20</v>
      </c>
      <c r="N419" t="str" cm="1">
        <f t="array" ref="N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9">
        <f>IF(ISNUMBER(SEARCH("passenger",PROPERTIES[[#This Row],[CARGODEF]])),1,0)</f>
        <v>0</v>
      </c>
      <c r="P419" s="29">
        <v>138</v>
      </c>
      <c r="Q419">
        <v>6400</v>
      </c>
      <c r="R419">
        <v>100</v>
      </c>
      <c r="S419" s="26">
        <v>485</v>
      </c>
      <c r="T419" s="25">
        <f>IFERROR(PROPERTIES[[#This Row],[TE_STARTING_KN]]/(PROPERTIES[[#This Row],[WEIGHT]]*9.81),0)</f>
        <v>0.35825614206148709</v>
      </c>
      <c r="U419" s="25">
        <v>0.35</v>
      </c>
      <c r="V419" s="22">
        <f>ROUND(IF(IFERROR(PROPERTIES[[#This Row],[TE_COEFFICIENT_CALC]],0)=0,PROPERTIES[[#This Row],[TE_COEFFICIENT_MANUAL]],PROPERTIES[[#This Row],[TE_COEFFICIENT_CALC]]),3)</f>
        <v>0.35799999999999998</v>
      </c>
      <c r="W419" s="10" cm="1">
        <f t="array" ref="W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9" s="32">
        <v>0</v>
      </c>
      <c r="Y419" s="8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8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9" t="b">
        <v>0</v>
      </c>
      <c r="AY419"/>
      <c r="AZ419"/>
      <c r="BA419"/>
    </row>
    <row r="420" spans="1:53">
      <c r="A420" s="2" t="s">
        <v>440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t="s">
        <v>1928</v>
      </c>
      <c r="F420" t="str">
        <f>_xlfn.XLOOKUP(PROPERTIES[[#This Row],[COUNTRY]],COUNTRIES[COUNTRY_DESCRIPTION],COUNTRIES[COUNTRY_LABEL],"")</f>
        <v>US</v>
      </c>
      <c r="G420" t="str" cm="1">
        <f t="array" ref="G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0" t="s">
        <v>19</v>
      </c>
      <c r="I420">
        <v>0</v>
      </c>
      <c r="J420">
        <v>8</v>
      </c>
      <c r="K420">
        <v>8</v>
      </c>
      <c r="L420" t="str" cm="1">
        <f t="array" ref="L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0">
        <f>_xlfn.XLOOKUP("LOADINGSPEEDDEF_"&amp;PROPERTIES[[#This Row],[LOADINGSPEED]],LOADINGSPEEDDEF[TYPE],LOADINGSPEEDDEF[SPEED])</f>
        <v>20</v>
      </c>
      <c r="N420" cm="1">
        <f t="array" ref="N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0">
        <f>IF(ISNUMBER(SEARCH("passenger",PROPERTIES[[#This Row],[CARGODEF]])),1,0)</f>
        <v>0</v>
      </c>
      <c r="P420" s="29">
        <v>175</v>
      </c>
      <c r="Q420">
        <v>4400</v>
      </c>
      <c r="R420">
        <v>113</v>
      </c>
      <c r="S420" s="26">
        <v>427.7</v>
      </c>
      <c r="T420" s="25">
        <f>IFERROR(PROPERTIES[[#This Row],[TE_STARTING_KN]]/(PROPERTIES[[#This Row],[WEIGHT]]*9.81),0)</f>
        <v>0.24913353720693168</v>
      </c>
      <c r="U420" s="25">
        <v>0.24</v>
      </c>
      <c r="V420" s="22">
        <f>ROUND(IF(IFERROR(PROPERTIES[[#This Row],[TE_COEFFICIENT_CALC]],0)=0,PROPERTIES[[#This Row],[TE_COEFFICIENT_MANUAL]],PROPERTIES[[#This Row],[TE_COEFFICIENT_CALC]]),3)</f>
        <v>0.249</v>
      </c>
      <c r="W420" s="10" cm="1">
        <f t="array" ref="W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0" s="32">
        <v>0</v>
      </c>
      <c r="Y420" s="8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8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9" t="b">
        <v>0</v>
      </c>
      <c r="AY420"/>
      <c r="AZ420"/>
      <c r="BA420"/>
    </row>
    <row r="421" spans="1:53">
      <c r="A421" s="2" t="s">
        <v>441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t="s">
        <v>1794</v>
      </c>
      <c r="F421" t="str">
        <f>_xlfn.XLOOKUP(PROPERTIES[[#This Row],[COUNTRY]],COUNTRIES[COUNTRY_DESCRIPTION],COUNTRIES[COUNTRY_LABEL],"")</f>
        <v>HR</v>
      </c>
      <c r="G421" t="str" cm="1">
        <f t="array" ref="G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1" t="s">
        <v>19</v>
      </c>
      <c r="I421">
        <v>0</v>
      </c>
      <c r="J421">
        <v>8</v>
      </c>
      <c r="K421">
        <v>8</v>
      </c>
      <c r="L421" t="str" cm="1">
        <f t="array" ref="L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1">
        <f>_xlfn.XLOOKUP("LOADINGSPEEDDEF_"&amp;PROPERTIES[[#This Row],[LOADINGSPEED]],LOADINGSPEEDDEF[TYPE],LOADINGSPEEDDEF[SPEED])</f>
        <v>20</v>
      </c>
      <c r="N421" cm="1">
        <f t="array" ref="N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1">
        <f>IF(ISNUMBER(SEARCH("passenger",PROPERTIES[[#This Row],[CARGODEF]])),1,0)</f>
        <v>0</v>
      </c>
      <c r="P421" s="29">
        <v>80</v>
      </c>
      <c r="Q421">
        <v>4624</v>
      </c>
      <c r="R421">
        <v>120</v>
      </c>
      <c r="S421" s="26">
        <v>275</v>
      </c>
      <c r="T421" s="25">
        <f>IFERROR(PROPERTIES[[#This Row],[TE_STARTING_KN]]/(PROPERTIES[[#This Row],[WEIGHT]]*9.81),0)</f>
        <v>0.35040774719673801</v>
      </c>
      <c r="U421" s="25">
        <v>0.25</v>
      </c>
      <c r="V421" s="22">
        <f>ROUND(IF(IFERROR(PROPERTIES[[#This Row],[TE_COEFFICIENT_CALC]],0)=0,PROPERTIES[[#This Row],[TE_COEFFICIENT_MANUAL]],PROPERTIES[[#This Row],[TE_COEFFICIENT_CALC]]),3)</f>
        <v>0.35</v>
      </c>
      <c r="W421" s="10" cm="1">
        <f t="array" ref="W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421" s="32">
        <v>0</v>
      </c>
      <c r="Y421" s="8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8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9" t="b">
        <v>0</v>
      </c>
      <c r="AY421"/>
      <c r="AZ421"/>
      <c r="BA421"/>
    </row>
    <row r="422" spans="1:53">
      <c r="A422" s="2" t="s">
        <v>442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t="s">
        <v>1796</v>
      </c>
      <c r="F422" t="str">
        <f>_xlfn.XLOOKUP(PROPERTIES[[#This Row],[COUNTRY]],COUNTRIES[COUNTRY_DESCRIPTION],COUNTRIES[COUNTRY_LABEL],"")</f>
        <v>HU</v>
      </c>
      <c r="G422" t="str" cm="1">
        <f t="array" ref="G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2" t="s">
        <v>19</v>
      </c>
      <c r="I422">
        <v>0</v>
      </c>
      <c r="J422">
        <v>8</v>
      </c>
      <c r="K422">
        <v>8</v>
      </c>
      <c r="L422" t="str" cm="1">
        <f t="array" ref="L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2">
        <f>_xlfn.XLOOKUP("LOADINGSPEEDDEF_"&amp;PROPERTIES[[#This Row],[LOADINGSPEED]],LOADINGSPEEDDEF[TYPE],LOADINGSPEEDDEF[SPEED])</f>
        <v>20</v>
      </c>
      <c r="N422" cm="1">
        <f t="array" ref="N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2">
        <f>IF(ISNUMBER(SEARCH("passenger",PROPERTIES[[#This Row],[CARGODEF]])),1,0)</f>
        <v>0</v>
      </c>
      <c r="P422" s="29">
        <v>80</v>
      </c>
      <c r="Q422">
        <v>3000</v>
      </c>
      <c r="R422">
        <v>120</v>
      </c>
      <c r="S422" s="26">
        <v>270</v>
      </c>
      <c r="T422" s="25">
        <f>IFERROR(PROPERTIES[[#This Row],[TE_STARTING_KN]]/(PROPERTIES[[#This Row],[WEIGHT]]*9.81),0)</f>
        <v>0.34403669724770641</v>
      </c>
      <c r="U422" s="25">
        <v>0.34</v>
      </c>
      <c r="V422" s="22">
        <f>ROUND(IF(IFERROR(PROPERTIES[[#This Row],[TE_COEFFICIENT_CALC]],0)=0,PROPERTIES[[#This Row],[TE_COEFFICIENT_MANUAL]],PROPERTIES[[#This Row],[TE_COEFFICIENT_CALC]]),3)</f>
        <v>0.34399999999999997</v>
      </c>
      <c r="W422" s="10" cm="1">
        <f t="array" ref="W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2" s="32">
        <v>0</v>
      </c>
      <c r="Y422" s="8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8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9" t="b">
        <v>0</v>
      </c>
      <c r="AY422"/>
      <c r="AZ422"/>
      <c r="BA422"/>
    </row>
    <row r="423" spans="1:53">
      <c r="A423" s="2" t="s">
        <v>443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t="s">
        <v>1880</v>
      </c>
      <c r="F423" t="str">
        <f>_xlfn.XLOOKUP(PROPERTIES[[#This Row],[COUNTRY]],COUNTRIES[COUNTRY_DESCRIPTION],COUNTRIES[COUNTRY_LABEL],"")</f>
        <v>PT</v>
      </c>
      <c r="G423" t="str" cm="1">
        <f t="array" ref="G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3" t="s">
        <v>19</v>
      </c>
      <c r="I423">
        <v>0</v>
      </c>
      <c r="J423">
        <v>6</v>
      </c>
      <c r="K423">
        <v>6</v>
      </c>
      <c r="L423" t="str" cm="1">
        <f t="array" ref="L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3">
        <f>_xlfn.XLOOKUP("LOADINGSPEEDDEF_"&amp;PROPERTIES[[#This Row],[LOADINGSPEED]],LOADINGSPEEDDEF[TYPE],LOADINGSPEEDDEF[SPEED])</f>
        <v>20</v>
      </c>
      <c r="N423" cm="1">
        <f t="array" ref="N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3">
        <f>IF(ISNUMBER(SEARCH("passenger",PROPERTIES[[#This Row],[CARGODEF]])),1,0)</f>
        <v>0</v>
      </c>
      <c r="P423" s="29">
        <v>72</v>
      </c>
      <c r="Q423">
        <v>2790</v>
      </c>
      <c r="R423">
        <v>120</v>
      </c>
      <c r="S423" s="26">
        <v>191</v>
      </c>
      <c r="T423" s="25">
        <f>IFERROR(PROPERTIES[[#This Row],[TE_STARTING_KN]]/(PROPERTIES[[#This Row],[WEIGHT]]*9.81),0)</f>
        <v>0.27041567561445234</v>
      </c>
      <c r="U423" s="25">
        <v>0.27</v>
      </c>
      <c r="V423" s="22">
        <f>ROUND(IF(IFERROR(PROPERTIES[[#This Row],[TE_COEFFICIENT_CALC]],0)=0,PROPERTIES[[#This Row],[TE_COEFFICIENT_MANUAL]],PROPERTIES[[#This Row],[TE_COEFFICIENT_CALC]]),3)</f>
        <v>0.27</v>
      </c>
      <c r="W423" s="10" cm="1">
        <f t="array" ref="W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3" s="32">
        <v>0</v>
      </c>
      <c r="Y423" s="8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8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9" t="b">
        <v>0</v>
      </c>
      <c r="AY423"/>
      <c r="AZ423"/>
      <c r="BA423"/>
    </row>
    <row r="424" spans="1:53">
      <c r="A424" s="2" t="s">
        <v>444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t="s">
        <v>1880</v>
      </c>
      <c r="F424" t="str">
        <f>_xlfn.XLOOKUP(PROPERTIES[[#This Row],[COUNTRY]],COUNTRIES[COUNTRY_DESCRIPTION],COUNTRIES[COUNTRY_LABEL],"")</f>
        <v>PT</v>
      </c>
      <c r="G424" t="str" cm="1">
        <f t="array" ref="G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4" t="s">
        <v>19</v>
      </c>
      <c r="I424">
        <v>0</v>
      </c>
      <c r="J424">
        <v>8</v>
      </c>
      <c r="K424">
        <v>8</v>
      </c>
      <c r="L424" t="str" cm="1">
        <f t="array" ref="L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4">
        <f>_xlfn.XLOOKUP("LOADINGSPEEDDEF_"&amp;PROPERTIES[[#This Row],[LOADINGSPEED]],LOADINGSPEEDDEF[TYPE],LOADINGSPEEDDEF[SPEED])</f>
        <v>20</v>
      </c>
      <c r="N424" cm="1">
        <f t="array" ref="N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4">
        <f>IF(ISNUMBER(SEARCH("passenger",PROPERTIES[[#This Row],[CARGODEF]])),1,0)</f>
        <v>0</v>
      </c>
      <c r="P424" s="29">
        <v>78</v>
      </c>
      <c r="Q424">
        <v>4020</v>
      </c>
      <c r="R424">
        <v>100</v>
      </c>
      <c r="S424" s="26">
        <v>245</v>
      </c>
      <c r="T424" s="25">
        <f>IFERROR(PROPERTIES[[#This Row],[TE_STARTING_KN]]/(PROPERTIES[[#This Row],[WEIGHT]]*9.81),0)</f>
        <v>0.32018610000261372</v>
      </c>
      <c r="U424" s="25">
        <v>0.32</v>
      </c>
      <c r="V424" s="22">
        <f>ROUND(IF(IFERROR(PROPERTIES[[#This Row],[TE_COEFFICIENT_CALC]],0)=0,PROPERTIES[[#This Row],[TE_COEFFICIENT_MANUAL]],PROPERTIES[[#This Row],[TE_COEFFICIENT_CALC]]),3)</f>
        <v>0.32</v>
      </c>
      <c r="W424" s="10" cm="1">
        <f t="array" ref="W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4" s="32">
        <v>0</v>
      </c>
      <c r="Y424" s="8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8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9" t="b">
        <v>0</v>
      </c>
      <c r="AY424"/>
      <c r="AZ424"/>
      <c r="BA424"/>
    </row>
    <row r="425" spans="1:53">
      <c r="A425" s="2" t="s">
        <v>445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t="s">
        <v>1942</v>
      </c>
      <c r="F425" t="str">
        <f>_xlfn.XLOOKUP(PROPERTIES[[#This Row],[COUNTRY]],COUNTRIES[COUNTRY_DESCRIPTION],COUNTRIES[COUNTRY_LABEL],"")</f>
        <v>ZA</v>
      </c>
      <c r="G425" t="str" cm="1">
        <f t="array" ref="G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5" t="s">
        <v>19</v>
      </c>
      <c r="I425">
        <v>0</v>
      </c>
      <c r="J425">
        <v>7</v>
      </c>
      <c r="K425">
        <v>7</v>
      </c>
      <c r="L425" t="str" cm="1">
        <f t="array" ref="L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5">
        <f>_xlfn.XLOOKUP("LOADINGSPEEDDEF_"&amp;PROPERTIES[[#This Row],[LOADINGSPEED]],LOADINGSPEEDDEF[TYPE],LOADINGSPEEDDEF[SPEED])</f>
        <v>20</v>
      </c>
      <c r="N425" t="str" cm="1">
        <f t="array" ref="N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5">
        <f>IF(ISNUMBER(SEARCH("passenger",PROPERTIES[[#This Row],[CARGODEF]])),1,0)</f>
        <v>0</v>
      </c>
      <c r="P425" s="29">
        <v>86</v>
      </c>
      <c r="Q425">
        <v>4000</v>
      </c>
      <c r="R425">
        <v>100</v>
      </c>
      <c r="S425" s="26">
        <v>320</v>
      </c>
      <c r="T425" s="25">
        <f>IFERROR(PROPERTIES[[#This Row],[TE_STARTING_KN]]/(PROPERTIES[[#This Row],[WEIGHT]]*9.81),0)</f>
        <v>0.37929971789583478</v>
      </c>
      <c r="U425" s="25">
        <v>0.45</v>
      </c>
      <c r="V425" s="22">
        <f>ROUND(IF(IFERROR(PROPERTIES[[#This Row],[TE_COEFFICIENT_CALC]],0)=0,PROPERTIES[[#This Row],[TE_COEFFICIENT_MANUAL]],PROPERTIES[[#This Row],[TE_COEFFICIENT_CALC]]),3)</f>
        <v>0.379</v>
      </c>
      <c r="W425" s="10" cm="1">
        <f t="array" ref="W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5" s="32">
        <v>0</v>
      </c>
      <c r="Y425" s="8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8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9" t="b">
        <v>0</v>
      </c>
      <c r="AY425"/>
      <c r="AZ425"/>
      <c r="BA425"/>
    </row>
    <row r="426" spans="1:53">
      <c r="A426" s="2" t="s">
        <v>446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t="s">
        <v>1818</v>
      </c>
      <c r="F426" t="str">
        <f>_xlfn.XLOOKUP(PROPERTIES[[#This Row],[COUNTRY]],COUNTRIES[COUNTRY_DESCRIPTION],COUNTRIES[COUNTRY_LABEL],"")</f>
        <v>KR</v>
      </c>
      <c r="G426" t="str" cm="1">
        <f t="array" ref="G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6" t="s">
        <v>19</v>
      </c>
      <c r="I426">
        <v>0</v>
      </c>
      <c r="J426">
        <v>8</v>
      </c>
      <c r="K426">
        <v>8</v>
      </c>
      <c r="L426" t="str" cm="1">
        <f t="array" ref="L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6">
        <f>_xlfn.XLOOKUP("LOADINGSPEEDDEF_"&amp;PROPERTIES[[#This Row],[LOADINGSPEED]],LOADINGSPEEDDEF[TYPE],LOADINGSPEEDDEF[SPEED])</f>
        <v>20</v>
      </c>
      <c r="N426" t="str" cm="1">
        <f t="array" ref="N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6">
        <f>IF(ISNUMBER(SEARCH("passenger",PROPERTIES[[#This Row],[CARGODEF]])),1,0)</f>
        <v>0</v>
      </c>
      <c r="P426" s="29">
        <v>80</v>
      </c>
      <c r="Q426">
        <v>7000</v>
      </c>
      <c r="R426">
        <v>150</v>
      </c>
      <c r="S426" s="26">
        <v>330</v>
      </c>
      <c r="T426" s="25">
        <f>IFERROR(PROPERTIES[[#This Row],[TE_STARTING_KN]]/(PROPERTIES[[#This Row],[WEIGHT]]*9.81),0)</f>
        <v>0.42048929663608559</v>
      </c>
      <c r="U426" s="25">
        <v>0.38</v>
      </c>
      <c r="V426" s="22">
        <f>ROUND(IF(IFERROR(PROPERTIES[[#This Row],[TE_COEFFICIENT_CALC]],0)=0,PROPERTIES[[#This Row],[TE_COEFFICIENT_MANUAL]],PROPERTIES[[#This Row],[TE_COEFFICIENT_CALC]]),3)</f>
        <v>0.42</v>
      </c>
      <c r="W426" s="10" cm="1">
        <f t="array" ref="W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6" s="32">
        <v>0</v>
      </c>
      <c r="Y426" s="8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8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9" t="b">
        <v>0</v>
      </c>
      <c r="AY426"/>
      <c r="AZ426"/>
      <c r="BA426"/>
    </row>
    <row r="427" spans="1:53">
      <c r="A427" s="2" t="s">
        <v>447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t="s">
        <v>1925</v>
      </c>
      <c r="F427" t="str">
        <f>_xlfn.XLOOKUP(PROPERTIES[[#This Row],[COUNTRY]],COUNTRIES[COUNTRY_DESCRIPTION],COUNTRIES[COUNTRY_LABEL],"")</f>
        <v>UA</v>
      </c>
      <c r="G427" t="str" cm="1">
        <f t="array" ref="G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7" t="s">
        <v>19</v>
      </c>
      <c r="I427">
        <v>0</v>
      </c>
      <c r="J427">
        <v>8</v>
      </c>
      <c r="K427">
        <v>8</v>
      </c>
      <c r="L427" t="str" cm="1">
        <f t="array" ref="L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7">
        <f>_xlfn.XLOOKUP("LOADINGSPEEDDEF_"&amp;PROPERTIES[[#This Row],[LOADINGSPEED]],LOADINGSPEEDDEF[TYPE],LOADINGSPEEDDEF[SPEED])</f>
        <v>20</v>
      </c>
      <c r="N427" t="str" cm="1">
        <f t="array" ref="N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7">
        <f>IF(ISNUMBER(SEARCH("passenger",PROPERTIES[[#This Row],[CARGODEF]])),1,0)</f>
        <v>0</v>
      </c>
      <c r="P427" s="29">
        <v>90</v>
      </c>
      <c r="Q427">
        <v>6450</v>
      </c>
      <c r="R427">
        <v>160</v>
      </c>
      <c r="S427" s="26">
        <v>310</v>
      </c>
      <c r="T427" s="25">
        <f>IFERROR(PROPERTIES[[#This Row],[TE_STARTING_KN]]/(PROPERTIES[[#This Row],[WEIGHT]]*9.81),0)</f>
        <v>0.35111564163551928</v>
      </c>
      <c r="U427" s="25">
        <v>0.32</v>
      </c>
      <c r="V427" s="22">
        <f>ROUND(IF(IFERROR(PROPERTIES[[#This Row],[TE_COEFFICIENT_CALC]],0)=0,PROPERTIES[[#This Row],[TE_COEFFICIENT_MANUAL]],PROPERTIES[[#This Row],[TE_COEFFICIENT_CALC]]),3)</f>
        <v>0.35099999999999998</v>
      </c>
      <c r="W427" s="10" cm="1">
        <f t="array" ref="W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7" s="32">
        <v>0</v>
      </c>
      <c r="Y427" s="8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8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9" t="b">
        <v>0</v>
      </c>
      <c r="AY427"/>
      <c r="AZ427"/>
      <c r="BA427"/>
    </row>
    <row r="428" spans="1:53">
      <c r="A428" s="2" t="s">
        <v>448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t="s">
        <v>1753</v>
      </c>
      <c r="F428" t="str">
        <f>_xlfn.XLOOKUP(PROPERTIES[[#This Row],[COUNTRY]],COUNTRIES[COUNTRY_DESCRIPTION],COUNTRIES[COUNTRY_LABEL],"")</f>
        <v>CZ</v>
      </c>
      <c r="G428" t="str" cm="1">
        <f t="array" ref="G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8" t="s">
        <v>19</v>
      </c>
      <c r="I428">
        <v>0</v>
      </c>
      <c r="J428">
        <v>8</v>
      </c>
      <c r="K428">
        <v>8</v>
      </c>
      <c r="L428" t="str" cm="1">
        <f t="array" ref="L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8">
        <f>_xlfn.XLOOKUP("LOADINGSPEEDDEF_"&amp;PROPERTIES[[#This Row],[LOADINGSPEED]],LOADINGSPEEDDEF[TYPE],LOADINGSPEEDDEF[SPEED])</f>
        <v>20</v>
      </c>
      <c r="N428" cm="1">
        <f t="array" ref="N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8">
        <f>IF(ISNUMBER(SEARCH("passenger",PROPERTIES[[#This Row],[CARGODEF]])),1,0)</f>
        <v>0</v>
      </c>
      <c r="P428" s="29">
        <v>85</v>
      </c>
      <c r="Q428">
        <v>4600</v>
      </c>
      <c r="R428">
        <v>120</v>
      </c>
      <c r="S428" s="26">
        <v>210</v>
      </c>
      <c r="T428" s="25">
        <f>IFERROR(PROPERTIES[[#This Row],[TE_STARTING_KN]]/(PROPERTIES[[#This Row],[WEIGHT]]*9.81),0)</f>
        <v>0.25184385680877858</v>
      </c>
      <c r="U428" s="25">
        <v>0.28000000000000003</v>
      </c>
      <c r="V428" s="22">
        <f>ROUND(IF(IFERROR(PROPERTIES[[#This Row],[TE_COEFFICIENT_CALC]],0)=0,PROPERTIES[[#This Row],[TE_COEFFICIENT_MANUAL]],PROPERTIES[[#This Row],[TE_COEFFICIENT_CALC]]),3)</f>
        <v>0.252</v>
      </c>
      <c r="W428" s="10" cm="1">
        <f t="array" ref="W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8" s="32">
        <v>0</v>
      </c>
      <c r="Y428" s="8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8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9" t="b">
        <v>0</v>
      </c>
      <c r="AY428"/>
      <c r="AZ428"/>
      <c r="BA428"/>
    </row>
    <row r="429" spans="1:53">
      <c r="A429" s="2" t="s">
        <v>449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t="s">
        <v>1806</v>
      </c>
      <c r="F429" t="str">
        <f>_xlfn.XLOOKUP(PROPERTIES[[#This Row],[COUNTRY]],COUNTRIES[COUNTRY_DESCRIPTION],COUNTRIES[COUNTRY_LABEL],"")</f>
        <v>IT</v>
      </c>
      <c r="G429" t="str" cm="1">
        <f t="array" ref="G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9" t="s">
        <v>19</v>
      </c>
      <c r="I429">
        <v>0</v>
      </c>
      <c r="J429">
        <v>8</v>
      </c>
      <c r="K429">
        <v>8</v>
      </c>
      <c r="L429" t="str" cm="1">
        <f t="array" ref="L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9">
        <f>_xlfn.XLOOKUP("LOADINGSPEEDDEF_"&amp;PROPERTIES[[#This Row],[LOADINGSPEED]],LOADINGSPEEDDEF[TYPE],LOADINGSPEEDDEF[SPEED])</f>
        <v>20</v>
      </c>
      <c r="N429" t="str" cm="1">
        <f t="array" ref="N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9">
        <f>IF(ISNUMBER(SEARCH("passenger",PROPERTIES[[#This Row],[CARGODEF]])),1,0)</f>
        <v>0</v>
      </c>
      <c r="P429" s="29">
        <v>77</v>
      </c>
      <c r="Q429">
        <v>4600</v>
      </c>
      <c r="R429">
        <v>140</v>
      </c>
      <c r="S429" s="26">
        <v>228</v>
      </c>
      <c r="T429" s="25">
        <f>IFERROR(PROPERTIES[[#This Row],[TE_STARTING_KN]]/(PROPERTIES[[#This Row],[WEIGHT]]*9.81),0)</f>
        <v>0.30183883394892569</v>
      </c>
      <c r="U429" s="25">
        <v>0.3</v>
      </c>
      <c r="V429" s="22">
        <f>ROUND(IF(IFERROR(PROPERTIES[[#This Row],[TE_COEFFICIENT_CALC]],0)=0,PROPERTIES[[#This Row],[TE_COEFFICIENT_MANUAL]],PROPERTIES[[#This Row],[TE_COEFFICIENT_CALC]]),3)</f>
        <v>0.30199999999999999</v>
      </c>
      <c r="W429" s="10" cm="1">
        <f t="array" ref="W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9" s="32">
        <v>0</v>
      </c>
      <c r="Y429" s="8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8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9" t="b">
        <v>0</v>
      </c>
      <c r="AY429"/>
      <c r="AZ429"/>
      <c r="BA429"/>
    </row>
    <row r="430" spans="1:53">
      <c r="A430" s="2" t="s">
        <v>450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t="s">
        <v>1840</v>
      </c>
      <c r="F430" t="str">
        <f>_xlfn.XLOOKUP(PROPERTIES[[#This Row],[COUNTRY]],COUNTRIES[COUNTRY_DESCRIPTION],COUNTRIES[COUNTRY_LABEL],"")</f>
        <v>MK</v>
      </c>
      <c r="G430" t="str" cm="1">
        <f t="array" ref="G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0" t="s">
        <v>19</v>
      </c>
      <c r="I430">
        <v>0</v>
      </c>
      <c r="J430">
        <v>8</v>
      </c>
      <c r="K430">
        <v>8</v>
      </c>
      <c r="L430" t="str" cm="1">
        <f t="array" ref="L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0">
        <f>_xlfn.XLOOKUP("LOADINGSPEEDDEF_"&amp;PROPERTIES[[#This Row],[LOADINGSPEED]],LOADINGSPEEDDEF[TYPE],LOADINGSPEEDDEF[SPEED])</f>
        <v>20</v>
      </c>
      <c r="N430" cm="1">
        <f t="array" ref="N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0">
        <f>IF(ISNUMBER(SEARCH("passenger",PROPERTIES[[#This Row],[CARGODEF]])),1,0)</f>
        <v>0</v>
      </c>
      <c r="P430" s="29">
        <v>120</v>
      </c>
      <c r="Q430">
        <v>6834</v>
      </c>
      <c r="R430">
        <v>120</v>
      </c>
      <c r="S430" s="26">
        <v>392</v>
      </c>
      <c r="T430" s="25">
        <f>IFERROR(PROPERTIES[[#This Row],[TE_STARTING_KN]]/(PROPERTIES[[#This Row],[WEIGHT]]*9.81),0)</f>
        <v>0.3329935440027183</v>
      </c>
      <c r="U430" s="25">
        <v>0.33</v>
      </c>
      <c r="V430" s="22">
        <f>ROUND(IF(IFERROR(PROPERTIES[[#This Row],[TE_COEFFICIENT_CALC]],0)=0,PROPERTIES[[#This Row],[TE_COEFFICIENT_MANUAL]],PROPERTIES[[#This Row],[TE_COEFFICIENT_CALC]]),3)</f>
        <v>0.33300000000000002</v>
      </c>
      <c r="W430" s="10" cm="1">
        <f t="array" ref="W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0" s="32">
        <v>0</v>
      </c>
      <c r="Y430" s="8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8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9" t="b">
        <v>0</v>
      </c>
      <c r="AY430"/>
      <c r="AZ430"/>
      <c r="BA430"/>
    </row>
    <row r="431" spans="1:53">
      <c r="A431" s="2" t="s">
        <v>451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t="s">
        <v>1833</v>
      </c>
      <c r="F431" t="str">
        <f>_xlfn.XLOOKUP(PROPERTIES[[#This Row],[COUNTRY]],COUNTRIES[COUNTRY_DESCRIPTION],COUNTRIES[COUNTRY_LABEL],"")</f>
        <v>MA</v>
      </c>
      <c r="G431" t="str" cm="1">
        <f t="array" ref="G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1" t="s">
        <v>19</v>
      </c>
      <c r="I431">
        <v>0</v>
      </c>
      <c r="J431">
        <v>5</v>
      </c>
      <c r="K431">
        <v>5</v>
      </c>
      <c r="L431" t="str" cm="1">
        <f t="array" ref="L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1">
        <f>_xlfn.XLOOKUP("LOADINGSPEEDDEF_"&amp;PROPERTIES[[#This Row],[LOADINGSPEED]],LOADINGSPEEDDEF[TYPE],LOADINGSPEEDDEF[SPEED])</f>
        <v>20</v>
      </c>
      <c r="N431" cm="1">
        <f t="array" ref="N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1">
        <f>IF(ISNUMBER(SEARCH("passenger",PROPERTIES[[#This Row],[CARGODEF]])),1,0)</f>
        <v>0</v>
      </c>
      <c r="P431" s="29">
        <v>76</v>
      </c>
      <c r="Q431">
        <v>986</v>
      </c>
      <c r="R431">
        <v>90</v>
      </c>
      <c r="S431" s="26">
        <v>0</v>
      </c>
      <c r="T431" s="25">
        <f>IFERROR(PROPERTIES[[#This Row],[TE_STARTING_KN]]/(PROPERTIES[[#This Row],[WEIGHT]]*9.81),0)</f>
        <v>0</v>
      </c>
      <c r="U431" s="25">
        <v>0.21</v>
      </c>
      <c r="V431" s="22">
        <f>ROUND(IF(IFERROR(PROPERTIES[[#This Row],[TE_COEFFICIENT_CALC]],0)=0,PROPERTIES[[#This Row],[TE_COEFFICIENT_MANUAL]],PROPERTIES[[#This Row],[TE_COEFFICIENT_CALC]]),3)</f>
        <v>0.21</v>
      </c>
      <c r="W431" s="10" cm="1">
        <f t="array" ref="W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31" s="32">
        <v>0</v>
      </c>
      <c r="Y431" s="8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8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9" t="b">
        <v>0</v>
      </c>
      <c r="AY431"/>
      <c r="AZ431"/>
      <c r="BA431"/>
    </row>
    <row r="432" spans="1:53">
      <c r="A432" s="2" t="s">
        <v>452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t="s">
        <v>1773</v>
      </c>
      <c r="F432" t="str">
        <f>_xlfn.XLOOKUP(PROPERTIES[[#This Row],[COUNTRY]],COUNTRIES[COUNTRY_DESCRIPTION],COUNTRIES[COUNTRY_LABEL],"")</f>
        <v>GB</v>
      </c>
      <c r="G432" t="str" cm="1">
        <f t="array" ref="G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2" t="s">
        <v>19</v>
      </c>
      <c r="I432">
        <v>0</v>
      </c>
      <c r="J432">
        <v>7</v>
      </c>
      <c r="K432">
        <v>7</v>
      </c>
      <c r="L432" t="str" cm="1">
        <f t="array" ref="L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2">
        <f>_xlfn.XLOOKUP("LOADINGSPEEDDEF_"&amp;PROPERTIES[[#This Row],[LOADINGSPEED]],LOADINGSPEEDDEF[TYPE],LOADINGSPEEDDEF[SPEED])</f>
        <v>20</v>
      </c>
      <c r="N432" cm="1">
        <f t="array" ref="N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2">
        <f>IF(ISNUMBER(SEARCH("passenger",PROPERTIES[[#This Row],[CARGODEF]])),1,0)</f>
        <v>0</v>
      </c>
      <c r="P432" s="29">
        <v>81</v>
      </c>
      <c r="Q432">
        <v>3200</v>
      </c>
      <c r="R432">
        <v>160</v>
      </c>
      <c r="S432" s="26">
        <v>220</v>
      </c>
      <c r="T432" s="25">
        <f>IFERROR(PROPERTIES[[#This Row],[TE_STARTING_KN]]/(PROPERTIES[[#This Row],[WEIGHT]]*9.81),0)</f>
        <v>0.27686538050112636</v>
      </c>
      <c r="U432" s="25">
        <v>0.27</v>
      </c>
      <c r="V432" s="22">
        <f>ROUND(IF(IFERROR(PROPERTIES[[#This Row],[TE_COEFFICIENT_CALC]],0)=0,PROPERTIES[[#This Row],[TE_COEFFICIENT_MANUAL]],PROPERTIES[[#This Row],[TE_COEFFICIENT_CALC]]),3)</f>
        <v>0.27700000000000002</v>
      </c>
      <c r="W432" s="10" cm="1">
        <f t="array" ref="W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2" s="32">
        <v>0</v>
      </c>
      <c r="Y432" s="8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8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9" t="b">
        <v>0</v>
      </c>
      <c r="AY432"/>
      <c r="AZ432"/>
      <c r="BA432"/>
    </row>
    <row r="433" spans="1:53">
      <c r="A433" s="2" t="s">
        <v>453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t="s">
        <v>1853</v>
      </c>
      <c r="F433" t="str">
        <f>_xlfn.XLOOKUP(PROPERTIES[[#This Row],[COUNTRY]],COUNTRIES[COUNTRY_DESCRIPTION],COUNTRIES[COUNTRY_LABEL],"")</f>
        <v>MX</v>
      </c>
      <c r="G433" t="str" cm="1">
        <f t="array" ref="G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3" t="s">
        <v>19</v>
      </c>
      <c r="I433">
        <v>0</v>
      </c>
      <c r="J433">
        <v>8</v>
      </c>
      <c r="K433">
        <v>8</v>
      </c>
      <c r="L433" t="str" cm="1">
        <f t="array" ref="L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3">
        <f>_xlfn.XLOOKUP("LOADINGSPEEDDEF_"&amp;PROPERTIES[[#This Row],[LOADINGSPEED]],LOADINGSPEEDDEF[TYPE],LOADINGSPEEDDEF[SPEED])</f>
        <v>20</v>
      </c>
      <c r="N433" cm="1">
        <f t="array" ref="N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3">
        <f>IF(ISNUMBER(SEARCH("passenger",PROPERTIES[[#This Row],[CARGODEF]])),1,0)</f>
        <v>0</v>
      </c>
      <c r="P433" s="29">
        <v>167.8</v>
      </c>
      <c r="Q433">
        <v>6000</v>
      </c>
      <c r="R433">
        <v>110</v>
      </c>
      <c r="S433" s="26">
        <v>520</v>
      </c>
      <c r="T433" s="25">
        <f>IFERROR(PROPERTIES[[#This Row],[TE_STARTING_KN]]/(PROPERTIES[[#This Row],[WEIGHT]]*9.81),0)</f>
        <v>0.31589472929644163</v>
      </c>
      <c r="U433" s="25">
        <v>0.19</v>
      </c>
      <c r="V433" s="22">
        <f>ROUND(IF(IFERROR(PROPERTIES[[#This Row],[TE_COEFFICIENT_CALC]],0)=0,PROPERTIES[[#This Row],[TE_COEFFICIENT_MANUAL]],PROPERTIES[[#This Row],[TE_COEFFICIENT_CALC]]),3)</f>
        <v>0.316</v>
      </c>
      <c r="W433" s="10" cm="1">
        <f t="array" ref="W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3" s="32">
        <v>0</v>
      </c>
      <c r="Y433" s="8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8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9" t="b">
        <v>0</v>
      </c>
      <c r="AY433"/>
      <c r="AZ433"/>
      <c r="BA433"/>
    </row>
    <row r="434" spans="1:53">
      <c r="A434" s="2" t="s">
        <v>454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t="s">
        <v>1833</v>
      </c>
      <c r="F434" t="str">
        <f>_xlfn.XLOOKUP(PROPERTIES[[#This Row],[COUNTRY]],COUNTRIES[COUNTRY_DESCRIPTION],COUNTRIES[COUNTRY_LABEL],"")</f>
        <v>MA</v>
      </c>
      <c r="G434" t="str" cm="1">
        <f t="array" ref="G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4" t="s">
        <v>19</v>
      </c>
      <c r="I434">
        <v>0</v>
      </c>
      <c r="J434">
        <v>8</v>
      </c>
      <c r="K434">
        <v>8</v>
      </c>
      <c r="L434" t="str" cm="1">
        <f t="array" ref="L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4">
        <f>_xlfn.XLOOKUP("LOADINGSPEEDDEF_"&amp;PROPERTIES[[#This Row],[LOADINGSPEED]],LOADINGSPEEDDEF[TYPE],LOADINGSPEEDDEF[SPEED])</f>
        <v>20</v>
      </c>
      <c r="N434" t="str" cm="1">
        <f t="array" ref="N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4">
        <f>IF(ISNUMBER(SEARCH("passenger",PROPERTIES[[#This Row],[CARGODEF]])),1,0)</f>
        <v>0</v>
      </c>
      <c r="P434" s="29">
        <v>91</v>
      </c>
      <c r="Q434">
        <v>8600</v>
      </c>
      <c r="R434">
        <v>160</v>
      </c>
      <c r="S434" s="26">
        <v>0</v>
      </c>
      <c r="T434" s="25">
        <f>IFERROR(PROPERTIES[[#This Row],[TE_STARTING_KN]]/(PROPERTIES[[#This Row],[WEIGHT]]*9.81),0)</f>
        <v>0</v>
      </c>
      <c r="U434" s="25">
        <v>0.35</v>
      </c>
      <c r="V434" s="22">
        <f>ROUND(IF(IFERROR(PROPERTIES[[#This Row],[TE_COEFFICIENT_CALC]],0)=0,PROPERTIES[[#This Row],[TE_COEFFICIENT_MANUAL]],PROPERTIES[[#This Row],[TE_COEFFICIENT_CALC]]),3)</f>
        <v>0.35</v>
      </c>
      <c r="W434" s="10" cm="1">
        <f t="array" ref="W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34" s="32">
        <v>0</v>
      </c>
      <c r="Y434" s="8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8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9" t="b">
        <v>0</v>
      </c>
      <c r="AY434"/>
      <c r="AZ434"/>
      <c r="BA434"/>
    </row>
    <row r="435" spans="1:53">
      <c r="A435" s="2" t="s">
        <v>455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t="s">
        <v>1867</v>
      </c>
      <c r="F435" t="str">
        <f>_xlfn.XLOOKUP(PROPERTIES[[#This Row],[COUNTRY]],COUNTRIES[COUNTRY_DESCRIPTION],COUNTRIES[COUNTRY_LABEL],"")</f>
        <v>NZ</v>
      </c>
      <c r="G435" t="str" cm="1">
        <f t="array" ref="G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5" t="s">
        <v>19</v>
      </c>
      <c r="I435">
        <v>0</v>
      </c>
      <c r="J435">
        <v>6</v>
      </c>
      <c r="K435">
        <v>6</v>
      </c>
      <c r="L435" t="str" cm="1">
        <f t="array" ref="L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5">
        <f>_xlfn.XLOOKUP("LOADINGSPEEDDEF_"&amp;PROPERTIES[[#This Row],[LOADINGSPEED]],LOADINGSPEEDDEF[TYPE],LOADINGSPEEDDEF[SPEED])</f>
        <v>20</v>
      </c>
      <c r="N435" cm="1">
        <f t="array" ref="N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5">
        <f>IF(ISNUMBER(SEARCH("passenger",PROPERTIES[[#This Row],[CARGODEF]])),1,0)</f>
        <v>0</v>
      </c>
      <c r="P435" s="29">
        <v>55</v>
      </c>
      <c r="Q435">
        <v>1290</v>
      </c>
      <c r="R435">
        <v>72</v>
      </c>
      <c r="S435" s="26">
        <v>0</v>
      </c>
      <c r="T435" s="25">
        <f>IFERROR(PROPERTIES[[#This Row],[TE_STARTING_KN]]/(PROPERTIES[[#This Row],[WEIGHT]]*9.81),0)</f>
        <v>0</v>
      </c>
      <c r="U435" s="25">
        <v>0.32</v>
      </c>
      <c r="V435" s="22">
        <f>ROUND(IF(IFERROR(PROPERTIES[[#This Row],[TE_COEFFICIENT_CALC]],0)=0,PROPERTIES[[#This Row],[TE_COEFFICIENT_MANUAL]],PROPERTIES[[#This Row],[TE_COEFFICIENT_CALC]]),3)</f>
        <v>0.32</v>
      </c>
      <c r="W435" s="10" cm="1">
        <f t="array" ref="W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5" s="32">
        <v>0</v>
      </c>
      <c r="Y435" s="8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8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9" t="b">
        <v>0</v>
      </c>
      <c r="AY435"/>
      <c r="AZ435"/>
      <c r="BA435"/>
    </row>
    <row r="436" spans="1:53">
      <c r="A436" s="2" t="s">
        <v>456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t="s">
        <v>1735</v>
      </c>
      <c r="F436" t="str">
        <f>_xlfn.XLOOKUP(PROPERTIES[[#This Row],[COUNTRY]],COUNTRIES[COUNTRY_DESCRIPTION],COUNTRIES[COUNTRY_LABEL],"")</f>
        <v>CA</v>
      </c>
      <c r="G436" t="str" cm="1">
        <f t="array" ref="G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6" t="s">
        <v>19</v>
      </c>
      <c r="I436">
        <v>0</v>
      </c>
      <c r="J436">
        <v>8</v>
      </c>
      <c r="K436">
        <v>8</v>
      </c>
      <c r="L436" t="str" cm="1">
        <f t="array" ref="L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6">
        <f>_xlfn.XLOOKUP("LOADINGSPEEDDEF_"&amp;PROPERTIES[[#This Row],[LOADINGSPEED]],LOADINGSPEEDDEF[TYPE],LOADINGSPEEDDEF[SPEED])</f>
        <v>20</v>
      </c>
      <c r="N436" cm="1">
        <f t="array" ref="N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6">
        <f>IF(ISNUMBER(SEARCH("passenger",PROPERTIES[[#This Row],[CARGODEF]])),1,0)</f>
        <v>0</v>
      </c>
      <c r="P436" s="29">
        <v>180</v>
      </c>
      <c r="Q436">
        <v>6000</v>
      </c>
      <c r="R436">
        <v>90</v>
      </c>
      <c r="S436" s="26">
        <v>605</v>
      </c>
      <c r="T436" s="25">
        <f>IFERROR(PROPERTIES[[#This Row],[TE_STARTING_KN]]/(PROPERTIES[[#This Row],[WEIGHT]]*9.81),0)</f>
        <v>0.34262090837014381</v>
      </c>
      <c r="U436" s="25">
        <v>0.22</v>
      </c>
      <c r="V436" s="22">
        <f>ROUND(IF(IFERROR(PROPERTIES[[#This Row],[TE_COEFFICIENT_CALC]],0)=0,PROPERTIES[[#This Row],[TE_COEFFICIENT_MANUAL]],PROPERTIES[[#This Row],[TE_COEFFICIENT_CALC]]),3)</f>
        <v>0.34300000000000003</v>
      </c>
      <c r="W436" s="10" cm="1">
        <f t="array" ref="W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6" s="32">
        <v>0</v>
      </c>
      <c r="Y436" s="8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8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9" t="b">
        <v>0</v>
      </c>
      <c r="AY436"/>
      <c r="AZ436"/>
      <c r="BA436"/>
    </row>
    <row r="437" spans="1:53">
      <c r="A437" s="2" t="s">
        <v>457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t="s">
        <v>1772</v>
      </c>
      <c r="F437" t="str">
        <f>_xlfn.XLOOKUP(PROPERTIES[[#This Row],[COUNTRY]],COUNTRIES[COUNTRY_DESCRIPTION],COUNTRIES[COUNTRY_LABEL],"")</f>
        <v>FR</v>
      </c>
      <c r="G437" t="str" cm="1">
        <f t="array" ref="G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7" t="s">
        <v>19</v>
      </c>
      <c r="I437">
        <v>0</v>
      </c>
      <c r="J437">
        <v>8</v>
      </c>
      <c r="K437">
        <v>8</v>
      </c>
      <c r="L437" t="str" cm="1">
        <f t="array" ref="L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7">
        <f>_xlfn.XLOOKUP("LOADINGSPEEDDEF_"&amp;PROPERTIES[[#This Row],[LOADINGSPEED]],LOADINGSPEEDDEF[TYPE],LOADINGSPEEDDEF[SPEED])</f>
        <v>20</v>
      </c>
      <c r="N437" cm="1">
        <f t="array" ref="N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7">
        <f>IF(ISNUMBER(SEARCH("passenger",PROPERTIES[[#This Row],[CARGODEF]])),1,0)</f>
        <v>0</v>
      </c>
      <c r="P437" s="29">
        <v>90</v>
      </c>
      <c r="Q437">
        <v>5850</v>
      </c>
      <c r="R437">
        <v>160</v>
      </c>
      <c r="S437" s="26">
        <v>294</v>
      </c>
      <c r="T437" s="25">
        <f>IFERROR(PROPERTIES[[#This Row],[TE_STARTING_KN]]/(PROPERTIES[[#This Row],[WEIGHT]]*9.81),0)</f>
        <v>0.3329935440027183</v>
      </c>
      <c r="U437" s="25">
        <v>0.33</v>
      </c>
      <c r="V437" s="22">
        <f>ROUND(IF(IFERROR(PROPERTIES[[#This Row],[TE_COEFFICIENT_CALC]],0)=0,PROPERTIES[[#This Row],[TE_COEFFICIENT_MANUAL]],PROPERTIES[[#This Row],[TE_COEFFICIENT_CALC]]),3)</f>
        <v>0.33300000000000002</v>
      </c>
      <c r="W437" s="10" cm="1">
        <f t="array" ref="W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7" s="32">
        <v>0</v>
      </c>
      <c r="Y437" s="8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8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9" t="b">
        <v>0</v>
      </c>
      <c r="AY437"/>
      <c r="AZ437"/>
      <c r="BA437"/>
    </row>
    <row r="438" spans="1:53">
      <c r="A438" s="2" t="s">
        <v>458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t="s">
        <v>1772</v>
      </c>
      <c r="F438" t="str">
        <f>_xlfn.XLOOKUP(PROPERTIES[[#This Row],[COUNTRY]],COUNTRIES[COUNTRY_DESCRIPTION],COUNTRIES[COUNTRY_LABEL],"")</f>
        <v>FR</v>
      </c>
      <c r="G438" t="str" cm="1">
        <f t="array" ref="G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8" t="s">
        <v>19</v>
      </c>
      <c r="I438">
        <v>0</v>
      </c>
      <c r="J438">
        <v>8</v>
      </c>
      <c r="K438">
        <v>8</v>
      </c>
      <c r="L438" t="str" cm="1">
        <f t="array" ref="L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8">
        <f>_xlfn.XLOOKUP("LOADINGSPEEDDEF_"&amp;PROPERTIES[[#This Row],[LOADINGSPEED]],LOADINGSPEEDDEF[TYPE],LOADINGSPEEDDEF[SPEED])</f>
        <v>20</v>
      </c>
      <c r="N438" t="str" cm="1">
        <f t="array" ref="N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8">
        <f>IF(ISNUMBER(SEARCH("passenger",PROPERTIES[[#This Row],[CARGODEF]])),1,0)</f>
        <v>0</v>
      </c>
      <c r="P438" s="29">
        <v>90</v>
      </c>
      <c r="Q438">
        <v>7504</v>
      </c>
      <c r="R438">
        <v>200</v>
      </c>
      <c r="S438" s="26">
        <v>320</v>
      </c>
      <c r="T438" s="25">
        <f>IFERROR(PROPERTIES[[#This Row],[TE_STARTING_KN]]/(PROPERTIES[[#This Row],[WEIGHT]]*9.81),0)</f>
        <v>0.36244195265601992</v>
      </c>
      <c r="U438" s="25">
        <v>0.36</v>
      </c>
      <c r="V438" s="22">
        <f>ROUND(IF(IFERROR(PROPERTIES[[#This Row],[TE_COEFFICIENT_CALC]],0)=0,PROPERTIES[[#This Row],[TE_COEFFICIENT_MANUAL]],PROPERTIES[[#This Row],[TE_COEFFICIENT_CALC]]),3)</f>
        <v>0.36199999999999999</v>
      </c>
      <c r="W438" s="10" cm="1">
        <f t="array" ref="W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8" s="32">
        <v>0</v>
      </c>
      <c r="Y438" s="8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8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9" t="b">
        <v>0</v>
      </c>
      <c r="AY438"/>
      <c r="AZ438"/>
      <c r="BA438"/>
    </row>
    <row r="439" spans="1:53">
      <c r="A439" s="2" t="s">
        <v>459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t="s">
        <v>1772</v>
      </c>
      <c r="F439" t="str">
        <f>_xlfn.XLOOKUP(PROPERTIES[[#This Row],[COUNTRY]],COUNTRIES[COUNTRY_DESCRIPTION],COUNTRIES[COUNTRY_LABEL],"")</f>
        <v>FR</v>
      </c>
      <c r="G439" t="str" cm="1">
        <f t="array" ref="G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9" t="s">
        <v>19</v>
      </c>
      <c r="I439">
        <v>0</v>
      </c>
      <c r="J439">
        <v>8</v>
      </c>
      <c r="K439">
        <v>8</v>
      </c>
      <c r="L439" t="str" cm="1">
        <f t="array" ref="L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9">
        <f>_xlfn.XLOOKUP("LOADINGSPEEDDEF_"&amp;PROPERTIES[[#This Row],[LOADINGSPEED]],LOADINGSPEEDDEF[TYPE],LOADINGSPEEDDEF[SPEED])</f>
        <v>20</v>
      </c>
      <c r="N439" cm="1">
        <f t="array" ref="N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9">
        <f>IF(ISNUMBER(SEARCH("passenger",PROPERTIES[[#This Row],[CARGODEF]])),1,0)</f>
        <v>0</v>
      </c>
      <c r="P439" s="29">
        <v>79</v>
      </c>
      <c r="Q439">
        <v>3940</v>
      </c>
      <c r="R439">
        <v>100</v>
      </c>
      <c r="S439" s="26">
        <v>330</v>
      </c>
      <c r="T439" s="25">
        <f>IFERROR(PROPERTIES[[#This Row],[TE_STARTING_KN]]/(PROPERTIES[[#This Row],[WEIGHT]]*9.81),0)</f>
        <v>0.42581194596059302</v>
      </c>
      <c r="U439" s="25">
        <v>0.42</v>
      </c>
      <c r="V439" s="22">
        <f>ROUND(IF(IFERROR(PROPERTIES[[#This Row],[TE_COEFFICIENT_CALC]],0)=0,PROPERTIES[[#This Row],[TE_COEFFICIENT_MANUAL]],PROPERTIES[[#This Row],[TE_COEFFICIENT_CALC]]),3)</f>
        <v>0.42599999999999999</v>
      </c>
      <c r="W439" s="10" cm="1">
        <f t="array" ref="W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39" s="32">
        <v>0</v>
      </c>
      <c r="Y439" s="8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8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9" t="b">
        <v>0</v>
      </c>
      <c r="AY439"/>
      <c r="AZ439"/>
      <c r="BA439"/>
    </row>
    <row r="440" spans="1:53">
      <c r="A440" s="2" t="s">
        <v>460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t="s">
        <v>1754</v>
      </c>
      <c r="F440" t="str">
        <f>_xlfn.XLOOKUP(PROPERTIES[[#This Row],[COUNTRY]],COUNTRIES[COUNTRY_DESCRIPTION],COUNTRIES[COUNTRY_LABEL],"")</f>
        <v>DE</v>
      </c>
      <c r="G440" t="str" cm="1">
        <f t="array" ref="G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0" t="s">
        <v>19</v>
      </c>
      <c r="I440">
        <v>0</v>
      </c>
      <c r="J440">
        <v>8</v>
      </c>
      <c r="K440">
        <v>8</v>
      </c>
      <c r="L440" t="str" cm="1">
        <f t="array" ref="L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0">
        <f>_xlfn.XLOOKUP("LOADINGSPEEDDEF_"&amp;PROPERTIES[[#This Row],[LOADINGSPEED]],LOADINGSPEEDDEF[TYPE],LOADINGSPEEDDEF[SPEED])</f>
        <v>20</v>
      </c>
      <c r="N440" t="str" cm="1">
        <f t="array" ref="N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0">
        <f>IF(ISNUMBER(SEARCH("passenger",PROPERTIES[[#This Row],[CARGODEF]])),1,0)</f>
        <v>0</v>
      </c>
      <c r="P440" s="29">
        <v>86</v>
      </c>
      <c r="Q440">
        <v>11266</v>
      </c>
      <c r="R440">
        <v>230</v>
      </c>
      <c r="S440" s="26">
        <v>300</v>
      </c>
      <c r="T440" s="25">
        <f>IFERROR(PROPERTIES[[#This Row],[TE_STARTING_KN]]/(PROPERTIES[[#This Row],[WEIGHT]]*9.81),0)</f>
        <v>0.3555934855273451</v>
      </c>
      <c r="U440" s="25">
        <v>0.35</v>
      </c>
      <c r="V440" s="22">
        <f>ROUND(IF(IFERROR(PROPERTIES[[#This Row],[TE_COEFFICIENT_CALC]],0)=0,PROPERTIES[[#This Row],[TE_COEFFICIENT_MANUAL]],PROPERTIES[[#This Row],[TE_COEFFICIENT_CALC]]),3)</f>
        <v>0.35599999999999998</v>
      </c>
      <c r="W440" s="10" cm="1">
        <f t="array" ref="W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0" s="32">
        <v>0</v>
      </c>
      <c r="Y440" s="8">
        <v>0</v>
      </c>
      <c r="Z440" t="s">
        <v>878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8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9" t="b">
        <v>0</v>
      </c>
      <c r="AY440"/>
      <c r="AZ440"/>
      <c r="BA440"/>
    </row>
    <row r="441" spans="1:53">
      <c r="A441" s="2" t="s">
        <v>461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t="s">
        <v>1810</v>
      </c>
      <c r="F441" t="str">
        <f>_xlfn.XLOOKUP(PROPERTIES[[#This Row],[COUNTRY]],COUNTRIES[COUNTRY_DESCRIPTION],COUNTRIES[COUNTRY_LABEL],"")</f>
        <v>JP</v>
      </c>
      <c r="G441" t="str" cm="1">
        <f t="array" ref="G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1" t="s">
        <v>19</v>
      </c>
      <c r="I441">
        <v>0</v>
      </c>
      <c r="J441">
        <v>8</v>
      </c>
      <c r="K441">
        <v>16</v>
      </c>
      <c r="L441" t="str" cm="1">
        <f t="array" ref="L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1">
        <f>_xlfn.XLOOKUP("LOADINGSPEEDDEF_"&amp;PROPERTIES[[#This Row],[LOADINGSPEED]],LOADINGSPEEDDEF[TYPE],LOADINGSPEEDDEF[SPEED])</f>
        <v>20</v>
      </c>
      <c r="N441" t="str" cm="1">
        <f t="array" ref="N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1">
        <f>IF(ISNUMBER(SEARCH("passenger",PROPERTIES[[#This Row],[CARGODEF]])),1,0)</f>
        <v>0</v>
      </c>
      <c r="P441" s="29">
        <v>134.19999999999999</v>
      </c>
      <c r="Q441">
        <v>5400</v>
      </c>
      <c r="R441">
        <v>110</v>
      </c>
      <c r="S441" s="26">
        <v>240.76</v>
      </c>
      <c r="T441" s="25">
        <f>IFERROR(PROPERTIES[[#This Row],[TE_STARTING_KN]]/(PROPERTIES[[#This Row],[WEIGHT]]*9.81),0)</f>
        <v>0.1828785675980743</v>
      </c>
      <c r="U441" s="25">
        <v>0.18</v>
      </c>
      <c r="V441" s="22">
        <f>ROUND(IF(IFERROR(PROPERTIES[[#This Row],[TE_COEFFICIENT_CALC]],0)=0,PROPERTIES[[#This Row],[TE_COEFFICIENT_MANUAL]],PROPERTIES[[#This Row],[TE_COEFFICIENT_CALC]]),3)</f>
        <v>0.183</v>
      </c>
      <c r="W441" s="10" cm="1">
        <f t="array" ref="W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1" s="32">
        <v>0</v>
      </c>
      <c r="Y441" s="8">
        <v>8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8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9" t="b">
        <v>0</v>
      </c>
      <c r="AY441"/>
      <c r="AZ441"/>
      <c r="BA441"/>
    </row>
    <row r="442" spans="1:53">
      <c r="A442" s="2" t="s">
        <v>462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t="s">
        <v>1928</v>
      </c>
      <c r="F442" t="str">
        <f>_xlfn.XLOOKUP(PROPERTIES[[#This Row],[COUNTRY]],COUNTRIES[COUNTRY_DESCRIPTION],COUNTRIES[COUNTRY_LABEL],"")</f>
        <v>US</v>
      </c>
      <c r="G442" t="str" cm="1">
        <f t="array" ref="G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2" t="s">
        <v>19</v>
      </c>
      <c r="I442">
        <v>0</v>
      </c>
      <c r="J442">
        <v>7</v>
      </c>
      <c r="K442">
        <v>7</v>
      </c>
      <c r="L442" t="str" cm="1">
        <f t="array" ref="L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2">
        <f>_xlfn.XLOOKUP("LOADINGSPEEDDEF_"&amp;PROPERTIES[[#This Row],[LOADINGSPEED]],LOADINGSPEEDDEF[TYPE],LOADINGSPEEDDEF[SPEED])</f>
        <v>20</v>
      </c>
      <c r="N442" cm="1">
        <f t="array" ref="N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2">
        <f>IF(ISNUMBER(SEARCH("passenger",PROPERTIES[[#This Row],[CARGODEF]])),1,0)</f>
        <v>0</v>
      </c>
      <c r="P442" s="29">
        <v>92</v>
      </c>
      <c r="Q442">
        <v>7000</v>
      </c>
      <c r="R442">
        <v>201</v>
      </c>
      <c r="S442" s="26">
        <v>230</v>
      </c>
      <c r="T442" s="25">
        <f>IFERROR(PROPERTIES[[#This Row],[TE_STARTING_KN]]/(PROPERTIES[[#This Row],[WEIGHT]]*9.81),0)</f>
        <v>0.254841997961264</v>
      </c>
      <c r="U442" s="25">
        <v>0.26</v>
      </c>
      <c r="V442" s="22">
        <f>ROUND(IF(IFERROR(PROPERTIES[[#This Row],[TE_COEFFICIENT_CALC]],0)=0,PROPERTIES[[#This Row],[TE_COEFFICIENT_MANUAL]],PROPERTIES[[#This Row],[TE_COEFFICIENT_CALC]]),3)</f>
        <v>0.255</v>
      </c>
      <c r="W442" s="10" cm="1">
        <f t="array" ref="W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2" s="32">
        <v>0</v>
      </c>
      <c r="Y442" s="8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8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9" t="b">
        <v>0</v>
      </c>
      <c r="AY442"/>
      <c r="AZ442"/>
      <c r="BA442"/>
    </row>
    <row r="443" spans="1:53">
      <c r="A443" s="2" t="s">
        <v>463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t="s">
        <v>1928</v>
      </c>
      <c r="F443" t="str">
        <f>_xlfn.XLOOKUP(PROPERTIES[[#This Row],[COUNTRY]],COUNTRIES[COUNTRY_DESCRIPTION],COUNTRIES[COUNTRY_LABEL],"")</f>
        <v>US</v>
      </c>
      <c r="G443" t="str" cm="1">
        <f t="array" ref="G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3" t="s">
        <v>19</v>
      </c>
      <c r="I443">
        <v>0</v>
      </c>
      <c r="J443">
        <v>8</v>
      </c>
      <c r="K443">
        <v>8</v>
      </c>
      <c r="L443" t="str" cm="1">
        <f t="array" ref="L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3">
        <f>_xlfn.XLOOKUP("LOADINGSPEEDDEF_"&amp;PROPERTIES[[#This Row],[LOADINGSPEED]],LOADINGSPEEDDEF[TYPE],LOADINGSPEEDDEF[SPEED])</f>
        <v>20</v>
      </c>
      <c r="N443" t="str" cm="1">
        <f t="array" ref="N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3">
        <f>IF(ISNUMBER(SEARCH("passenger",PROPERTIES[[#This Row],[CARGODEF]])),1,0)</f>
        <v>0</v>
      </c>
      <c r="P443" s="29">
        <v>101</v>
      </c>
      <c r="Q443">
        <v>8000</v>
      </c>
      <c r="R443">
        <v>217</v>
      </c>
      <c r="S443" s="26">
        <v>316.89999999999998</v>
      </c>
      <c r="T443" s="25">
        <f>IFERROR(PROPERTIES[[#This Row],[TE_STARTING_KN]]/(PROPERTIES[[#This Row],[WEIGHT]]*9.81),0)</f>
        <v>0.31983932338187943</v>
      </c>
      <c r="U443" s="25">
        <v>0.25</v>
      </c>
      <c r="V443" s="22">
        <f>ROUND(IF(IFERROR(PROPERTIES[[#This Row],[TE_COEFFICIENT_CALC]],0)=0,PROPERTIES[[#This Row],[TE_COEFFICIENT_MANUAL]],PROPERTIES[[#This Row],[TE_COEFFICIENT_CALC]]),3)</f>
        <v>0.32</v>
      </c>
      <c r="W443" s="10" cm="1">
        <f t="array" ref="W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3" s="32">
        <v>0</v>
      </c>
      <c r="Y443" s="8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8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9" t="b">
        <v>0</v>
      </c>
      <c r="AY443"/>
      <c r="AZ443"/>
      <c r="BA443"/>
    </row>
    <row r="444" spans="1:53">
      <c r="A444" s="2" t="s">
        <v>464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t="s">
        <v>1753</v>
      </c>
      <c r="F444" t="str">
        <f>_xlfn.XLOOKUP(PROPERTIES[[#This Row],[COUNTRY]],COUNTRIES[COUNTRY_DESCRIPTION],COUNTRIES[COUNTRY_LABEL],"")</f>
        <v>CZ</v>
      </c>
      <c r="G444" t="str" cm="1">
        <f t="array" ref="G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4" t="s">
        <v>19</v>
      </c>
      <c r="I444">
        <v>0</v>
      </c>
      <c r="J444">
        <v>8</v>
      </c>
      <c r="K444">
        <v>8</v>
      </c>
      <c r="L444" t="str" cm="1">
        <f t="array" ref="L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4">
        <f>_xlfn.XLOOKUP("LOADINGSPEEDDEF_"&amp;PROPERTIES[[#This Row],[LOADINGSPEED]],LOADINGSPEEDDEF[TYPE],LOADINGSPEEDDEF[SPEED])</f>
        <v>20</v>
      </c>
      <c r="N444" t="str" cm="1">
        <f t="array" ref="N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4">
        <f>IF(ISNUMBER(SEARCH("passenger",PROPERTIES[[#This Row],[CARGODEF]])),1,0)</f>
        <v>0</v>
      </c>
      <c r="P444" s="29">
        <v>88</v>
      </c>
      <c r="Q444">
        <v>8583</v>
      </c>
      <c r="R444">
        <v>200</v>
      </c>
      <c r="S444" s="26">
        <v>300</v>
      </c>
      <c r="T444" s="25">
        <f>IFERROR(PROPERTIES[[#This Row],[TE_STARTING_KN]]/(PROPERTIES[[#This Row],[WEIGHT]]*9.81),0)</f>
        <v>0.3475118154017236</v>
      </c>
      <c r="U444" s="25">
        <v>0.34</v>
      </c>
      <c r="V444" s="22">
        <f>ROUND(IF(IFERROR(PROPERTIES[[#This Row],[TE_COEFFICIENT_CALC]],0)=0,PROPERTIES[[#This Row],[TE_COEFFICIENT_MANUAL]],PROPERTIES[[#This Row],[TE_COEFFICIENT_CALC]]),3)</f>
        <v>0.34799999999999998</v>
      </c>
      <c r="W444" s="10" cm="1">
        <f t="array" ref="W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4" s="32">
        <v>0</v>
      </c>
      <c r="Y444" s="8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8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9" t="b">
        <v>0</v>
      </c>
      <c r="AY444"/>
      <c r="AZ444"/>
      <c r="BA444"/>
    </row>
    <row r="445" spans="1:53">
      <c r="A445" s="2" t="s">
        <v>465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t="s">
        <v>1765</v>
      </c>
      <c r="F445" t="str">
        <f>_xlfn.XLOOKUP(PROPERTIES[[#This Row],[COUNTRY]],COUNTRIES[COUNTRY_DESCRIPTION],COUNTRIES[COUNTRY_LABEL],"")</f>
        <v>ES</v>
      </c>
      <c r="G445" t="str" cm="1">
        <f t="array" ref="G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5" t="s">
        <v>19</v>
      </c>
      <c r="I445">
        <v>0</v>
      </c>
      <c r="J445">
        <v>8</v>
      </c>
      <c r="K445">
        <v>8</v>
      </c>
      <c r="L445" t="str" cm="1">
        <f t="array" ref="L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5">
        <f>_xlfn.XLOOKUP("LOADINGSPEEDDEF_"&amp;PROPERTIES[[#This Row],[LOADINGSPEED]],LOADINGSPEEDDEF[TYPE],LOADINGSPEEDDEF[SPEED])</f>
        <v>20</v>
      </c>
      <c r="N445" t="str" cm="1">
        <f t="array" ref="N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5">
        <f>IF(ISNUMBER(SEARCH("passenger",PROPERTIES[[#This Row],[CARGODEF]])),1,0)</f>
        <v>0</v>
      </c>
      <c r="P445" s="29">
        <v>90</v>
      </c>
      <c r="Q445">
        <v>7500</v>
      </c>
      <c r="R445">
        <v>200</v>
      </c>
      <c r="S445" s="26">
        <v>300</v>
      </c>
      <c r="T445" s="25">
        <f>IFERROR(PROPERTIES[[#This Row],[TE_STARTING_KN]]/(PROPERTIES[[#This Row],[WEIGHT]]*9.81),0)</f>
        <v>0.33978933061501865</v>
      </c>
      <c r="U445" s="25">
        <v>0.33</v>
      </c>
      <c r="V445" s="22">
        <f>ROUND(IF(IFERROR(PROPERTIES[[#This Row],[TE_COEFFICIENT_CALC]],0)=0,PROPERTIES[[#This Row],[TE_COEFFICIENT_MANUAL]],PROPERTIES[[#This Row],[TE_COEFFICIENT_CALC]]),3)</f>
        <v>0.34</v>
      </c>
      <c r="W445" s="10" cm="1">
        <f t="array" ref="W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5" s="32">
        <v>0</v>
      </c>
      <c r="Y445" s="8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8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9" t="b">
        <v>0</v>
      </c>
      <c r="AY445"/>
      <c r="AZ445"/>
      <c r="BA445"/>
    </row>
    <row r="446" spans="1:53">
      <c r="A446" s="2" t="s">
        <v>466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t="s">
        <v>1754</v>
      </c>
      <c r="F446" t="str">
        <f>_xlfn.XLOOKUP(PROPERTIES[[#This Row],[COUNTRY]],COUNTRIES[COUNTRY_DESCRIPTION],COUNTRIES[COUNTRY_LABEL],"")</f>
        <v>DE</v>
      </c>
      <c r="G446" t="str" cm="1">
        <f t="array" ref="G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6" t="s">
        <v>19</v>
      </c>
      <c r="I446">
        <v>0</v>
      </c>
      <c r="J446">
        <v>8</v>
      </c>
      <c r="K446">
        <v>8</v>
      </c>
      <c r="L446" t="str" cm="1">
        <f t="array" ref="L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6">
        <f>_xlfn.XLOOKUP("LOADINGSPEEDDEF_"&amp;PROPERTIES[[#This Row],[LOADINGSPEED]],LOADINGSPEEDDEF[TYPE],LOADINGSPEEDDEF[SPEED])</f>
        <v>20</v>
      </c>
      <c r="N446" t="str" cm="1">
        <f t="array" ref="N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6">
        <f>IF(ISNUMBER(SEARCH("passenger",PROPERTIES[[#This Row],[CARGODEF]])),1,0)</f>
        <v>0</v>
      </c>
      <c r="P446" s="29">
        <v>84</v>
      </c>
      <c r="Q446">
        <v>5600</v>
      </c>
      <c r="R446">
        <v>140</v>
      </c>
      <c r="S446" s="26">
        <v>0</v>
      </c>
      <c r="T446" s="25">
        <f>IFERROR(PROPERTIES[[#This Row],[TE_STARTING_KN]]/(PROPERTIES[[#This Row],[WEIGHT]]*9.81),0)</f>
        <v>0</v>
      </c>
      <c r="U446" s="25">
        <v>0.35</v>
      </c>
      <c r="V446" s="22">
        <f>ROUND(IF(IFERROR(PROPERTIES[[#This Row],[TE_COEFFICIENT_CALC]],0)=0,PROPERTIES[[#This Row],[TE_COEFFICIENT_MANUAL]],PROPERTIES[[#This Row],[TE_COEFFICIENT_CALC]]),3)</f>
        <v>0.35</v>
      </c>
      <c r="W446" s="10" cm="1">
        <f t="array" ref="W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6" s="32">
        <v>0</v>
      </c>
      <c r="Y446" s="8">
        <v>0</v>
      </c>
      <c r="Z446" t="s">
        <v>878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8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9" t="b">
        <v>0</v>
      </c>
      <c r="AY446"/>
      <c r="AZ446"/>
      <c r="BA446"/>
    </row>
    <row r="447" spans="1:53">
      <c r="A447" s="2" t="s">
        <v>467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t="s">
        <v>1806</v>
      </c>
      <c r="F447" t="str">
        <f>_xlfn.XLOOKUP(PROPERTIES[[#This Row],[COUNTRY]],COUNTRIES[COUNTRY_DESCRIPTION],COUNTRIES[COUNTRY_LABEL],"")</f>
        <v>IT</v>
      </c>
      <c r="G447" t="str" cm="1">
        <f t="array" ref="G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7" t="s">
        <v>19</v>
      </c>
      <c r="I447">
        <v>0</v>
      </c>
      <c r="J447">
        <v>6</v>
      </c>
      <c r="K447">
        <v>6</v>
      </c>
      <c r="L447" t="str" cm="1">
        <f t="array" ref="L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7">
        <f>_xlfn.XLOOKUP("LOADINGSPEEDDEF_"&amp;PROPERTIES[[#This Row],[LOADINGSPEED]],LOADINGSPEEDDEF[TYPE],LOADINGSPEEDDEF[SPEED])</f>
        <v>20</v>
      </c>
      <c r="N447" cm="1">
        <f t="array" ref="N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7">
        <f>IF(ISNUMBER(SEARCH("passenger",PROPERTIES[[#This Row],[CARGODEF]])),1,0)</f>
        <v>0</v>
      </c>
      <c r="P447" s="29">
        <v>64</v>
      </c>
      <c r="Q447">
        <v>2000</v>
      </c>
      <c r="R447">
        <v>50</v>
      </c>
      <c r="S447" s="26">
        <v>100</v>
      </c>
      <c r="T447" s="25">
        <f>IFERROR(PROPERTIES[[#This Row],[TE_STARTING_KN]]/(PROPERTIES[[#This Row],[WEIGHT]]*9.81),0)</f>
        <v>0.15927624872578999</v>
      </c>
      <c r="U447" s="25">
        <v>0.16</v>
      </c>
      <c r="V447" s="22">
        <f>ROUND(IF(IFERROR(PROPERTIES[[#This Row],[TE_COEFFICIENT_CALC]],0)=0,PROPERTIES[[#This Row],[TE_COEFFICIENT_MANUAL]],PROPERTIES[[#This Row],[TE_COEFFICIENT_CALC]]),3)</f>
        <v>0.159</v>
      </c>
      <c r="W447" s="10" cm="1">
        <f t="array" ref="W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47" s="32">
        <v>0</v>
      </c>
      <c r="Y447" s="8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8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9" t="b">
        <v>0</v>
      </c>
      <c r="AY447"/>
      <c r="AZ447"/>
      <c r="BA447"/>
    </row>
    <row r="448" spans="1:53">
      <c r="A448" s="2" t="s">
        <v>468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t="s">
        <v>1810</v>
      </c>
      <c r="F448" t="str">
        <f>_xlfn.XLOOKUP(PROPERTIES[[#This Row],[COUNTRY]],COUNTRIES[COUNTRY_DESCRIPTION],COUNTRIES[COUNTRY_LABEL],"")</f>
        <v>JP</v>
      </c>
      <c r="G448" t="str" cm="1">
        <f t="array" ref="G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8" t="s">
        <v>19</v>
      </c>
      <c r="I448">
        <v>0</v>
      </c>
      <c r="J448">
        <v>7</v>
      </c>
      <c r="K448">
        <v>7</v>
      </c>
      <c r="L448" t="str" cm="1">
        <f t="array" ref="L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8">
        <f>_xlfn.XLOOKUP("LOADINGSPEEDDEF_"&amp;PROPERTIES[[#This Row],[LOADINGSPEED]],LOADINGSPEEDDEF[TYPE],LOADINGSPEEDDEF[SPEED])</f>
        <v>20</v>
      </c>
      <c r="N448" cm="1">
        <f t="array" ref="N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8">
        <f>IF(ISNUMBER(SEARCH("passenger",PROPERTIES[[#This Row],[CARGODEF]])),1,0)</f>
        <v>0</v>
      </c>
      <c r="P448" s="29">
        <v>101</v>
      </c>
      <c r="Q448">
        <v>3420</v>
      </c>
      <c r="R448">
        <v>110</v>
      </c>
      <c r="S448" s="26">
        <v>0</v>
      </c>
      <c r="T448" s="25">
        <f>IFERROR(PROPERTIES[[#This Row],[TE_STARTING_KN]]/(PROPERTIES[[#This Row],[WEIGHT]]*9.81),0)</f>
        <v>0</v>
      </c>
      <c r="U448" s="25">
        <v>0.28999999999999998</v>
      </c>
      <c r="V448" s="22">
        <f>ROUND(IF(IFERROR(PROPERTIES[[#This Row],[TE_COEFFICIENT_CALC]],0)=0,PROPERTIES[[#This Row],[TE_COEFFICIENT_MANUAL]],PROPERTIES[[#This Row],[TE_COEFFICIENT_CALC]]),3)</f>
        <v>0.28999999999999998</v>
      </c>
      <c r="W448" s="10" cm="1">
        <f t="array" ref="W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8" s="32">
        <v>0</v>
      </c>
      <c r="Y448" s="8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8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9" t="b">
        <v>0</v>
      </c>
      <c r="AY448"/>
      <c r="AZ448"/>
      <c r="BA448"/>
    </row>
    <row r="449" spans="1:53">
      <c r="A449" s="2" t="s">
        <v>469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t="s">
        <v>1773</v>
      </c>
      <c r="F449" t="str">
        <f>_xlfn.XLOOKUP(PROPERTIES[[#This Row],[COUNTRY]],COUNTRIES[COUNTRY_DESCRIPTION],COUNTRIES[COUNTRY_LABEL],"")</f>
        <v>GB</v>
      </c>
      <c r="G449" t="str" cm="1">
        <f t="array" ref="G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9" t="s">
        <v>19</v>
      </c>
      <c r="I449">
        <v>0</v>
      </c>
      <c r="J449">
        <v>8</v>
      </c>
      <c r="K449">
        <v>8</v>
      </c>
      <c r="L449" t="str" cm="1">
        <f t="array" ref="L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9">
        <f>_xlfn.XLOOKUP("LOADINGSPEEDDEF_"&amp;PROPERTIES[[#This Row],[LOADINGSPEED]],LOADINGSPEEDDEF[TYPE],LOADINGSPEEDDEF[SPEED])</f>
        <v>20</v>
      </c>
      <c r="N449" t="str" cm="1">
        <f t="array" ref="N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9">
        <f>IF(ISNUMBER(SEARCH("passenger",PROPERTIES[[#This Row],[CARGODEF]])),1,0)</f>
        <v>0</v>
      </c>
      <c r="P449" s="29">
        <v>126</v>
      </c>
      <c r="Q449">
        <v>6760</v>
      </c>
      <c r="R449">
        <v>140</v>
      </c>
      <c r="S449" s="26">
        <v>360</v>
      </c>
      <c r="T449" s="25">
        <f>IFERROR(PROPERTIES[[#This Row],[TE_STARTING_KN]]/(PROPERTIES[[#This Row],[WEIGHT]]*9.81),0)</f>
        <v>0.29124799767001597</v>
      </c>
      <c r="U449" s="25">
        <v>0.28999999999999998</v>
      </c>
      <c r="V449" s="22">
        <f>ROUND(IF(IFERROR(PROPERTIES[[#This Row],[TE_COEFFICIENT_CALC]],0)=0,PROPERTIES[[#This Row],[TE_COEFFICIENT_MANUAL]],PROPERTIES[[#This Row],[TE_COEFFICIENT_CALC]]),3)</f>
        <v>0.29099999999999998</v>
      </c>
      <c r="W449" s="10" cm="1">
        <f t="array" ref="W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9" s="32">
        <v>0</v>
      </c>
      <c r="Y449" s="8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8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9" t="b">
        <v>0</v>
      </c>
      <c r="AY449"/>
      <c r="AZ449"/>
      <c r="BA449"/>
    </row>
    <row r="450" spans="1:53">
      <c r="A450" s="2" t="s">
        <v>470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t="s">
        <v>1928</v>
      </c>
      <c r="F450" t="str">
        <f>_xlfn.XLOOKUP(PROPERTIES[[#This Row],[COUNTRY]],COUNTRIES[COUNTRY_DESCRIPTION],COUNTRIES[COUNTRY_LABEL],"")</f>
        <v>US</v>
      </c>
      <c r="G450" t="str" cm="1">
        <f t="array" ref="G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0" t="s">
        <v>19</v>
      </c>
      <c r="I450">
        <v>0</v>
      </c>
      <c r="J450">
        <v>8</v>
      </c>
      <c r="K450">
        <v>8</v>
      </c>
      <c r="L450" t="str" cm="1">
        <f t="array" ref="L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0">
        <f>_xlfn.XLOOKUP("LOADINGSPEEDDEF_"&amp;PROPERTIES[[#This Row],[LOADINGSPEED]],LOADINGSPEEDDEF[TYPE],LOADINGSPEEDDEF[SPEED])</f>
        <v>20</v>
      </c>
      <c r="N450" t="str" cm="1">
        <f t="array" ref="N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0">
        <f>IF(ISNUMBER(SEARCH("passenger",PROPERTIES[[#This Row],[CARGODEF]])),1,0)</f>
        <v>0</v>
      </c>
      <c r="P450" s="29">
        <v>98</v>
      </c>
      <c r="Q450">
        <v>6700</v>
      </c>
      <c r="R450">
        <v>201</v>
      </c>
      <c r="S450" s="26">
        <v>320</v>
      </c>
      <c r="T450" s="25">
        <f>IFERROR(PROPERTIES[[#This Row],[TE_STARTING_KN]]/(PROPERTIES[[#This Row],[WEIGHT]]*9.81),0)</f>
        <v>0.33285485448001834</v>
      </c>
      <c r="U450" s="25">
        <v>0.33</v>
      </c>
      <c r="V450" s="22">
        <f>ROUND(IF(IFERROR(PROPERTIES[[#This Row],[TE_COEFFICIENT_CALC]],0)=0,PROPERTIES[[#This Row],[TE_COEFFICIENT_MANUAL]],PROPERTIES[[#This Row],[TE_COEFFICIENT_CALC]]),3)</f>
        <v>0.33300000000000002</v>
      </c>
      <c r="W450" s="10" cm="1">
        <f t="array" ref="W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50" s="32">
        <v>0</v>
      </c>
      <c r="Y450" s="8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8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9" t="b">
        <v>0</v>
      </c>
      <c r="AY450"/>
      <c r="AZ450"/>
      <c r="BA450"/>
    </row>
    <row r="451" spans="1:53">
      <c r="A451" s="2" t="s">
        <v>471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t="s">
        <v>1772</v>
      </c>
      <c r="F451" t="str">
        <f>_xlfn.XLOOKUP(PROPERTIES[[#This Row],[COUNTRY]],COUNTRIES[COUNTRY_DESCRIPTION],COUNTRIES[COUNTRY_LABEL],"")</f>
        <v>FR</v>
      </c>
      <c r="G451" t="str" cm="1">
        <f t="array" ref="G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1" t="s">
        <v>19</v>
      </c>
      <c r="I451">
        <v>0</v>
      </c>
      <c r="J451">
        <v>8</v>
      </c>
      <c r="K451">
        <v>8</v>
      </c>
      <c r="L451" t="str" cm="1">
        <f t="array" ref="L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1">
        <f>_xlfn.XLOOKUP("LOADINGSPEEDDEF_"&amp;PROPERTIES[[#This Row],[LOADINGSPEED]],LOADINGSPEEDDEF[TYPE],LOADINGSPEEDDEF[SPEED])</f>
        <v>20</v>
      </c>
      <c r="N451" cm="1">
        <f t="array" ref="N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1">
        <f>IF(ISNUMBER(SEARCH("passenger",PROPERTIES[[#This Row],[CARGODEF]])),1,0)</f>
        <v>0</v>
      </c>
      <c r="P451" s="29">
        <v>97</v>
      </c>
      <c r="Q451">
        <v>4920</v>
      </c>
      <c r="R451">
        <v>240</v>
      </c>
      <c r="S451" s="26">
        <v>210</v>
      </c>
      <c r="T451" s="25">
        <f>IFERROR(PROPERTIES[[#This Row],[TE_STARTING_KN]]/(PROPERTIES[[#This Row],[WEIGHT]]*9.81),0)</f>
        <v>0.22068791576026986</v>
      </c>
      <c r="U451" s="25">
        <v>0.21</v>
      </c>
      <c r="V451" s="22">
        <f>ROUND(IF(IFERROR(PROPERTIES[[#This Row],[TE_COEFFICIENT_CALC]],0)=0,PROPERTIES[[#This Row],[TE_COEFFICIENT_MANUAL]],PROPERTIES[[#This Row],[TE_COEFFICIENT_CALC]]),3)</f>
        <v>0.221</v>
      </c>
      <c r="W451" s="10" cm="1">
        <f t="array" ref="W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1" s="32">
        <v>0</v>
      </c>
      <c r="Y451" s="8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8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9" t="b">
        <v>0</v>
      </c>
      <c r="AY451"/>
      <c r="AZ451"/>
      <c r="BA451"/>
    </row>
    <row r="452" spans="1:53">
      <c r="A452" s="2" t="s">
        <v>472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t="s">
        <v>1717</v>
      </c>
      <c r="F452" t="str">
        <f>_xlfn.XLOOKUP(PROPERTIES[[#This Row],[COUNTRY]],COUNTRIES[COUNTRY_DESCRIPTION],COUNTRIES[COUNTRY_LABEL],"")</f>
        <v>BE</v>
      </c>
      <c r="G452" t="str" cm="1">
        <f t="array" ref="G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2" t="s">
        <v>19</v>
      </c>
      <c r="I452">
        <v>0</v>
      </c>
      <c r="J452">
        <v>8</v>
      </c>
      <c r="K452">
        <v>8</v>
      </c>
      <c r="L452" t="str" cm="1">
        <f t="array" ref="L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2">
        <f>_xlfn.XLOOKUP("LOADINGSPEEDDEF_"&amp;PROPERTIES[[#This Row],[LOADINGSPEED]],LOADINGSPEEDDEF[TYPE],LOADINGSPEEDDEF[SPEED])</f>
        <v>20</v>
      </c>
      <c r="N452" t="str" cm="1">
        <f t="array" ref="N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2">
        <f>IF(ISNUMBER(SEARCH("passenger",PROPERTIES[[#This Row],[CARGODEF]])),1,0)</f>
        <v>0</v>
      </c>
      <c r="P452" s="29">
        <v>90</v>
      </c>
      <c r="Q452">
        <v>6968</v>
      </c>
      <c r="R452">
        <v>200</v>
      </c>
      <c r="S452" s="26">
        <v>288</v>
      </c>
      <c r="T452" s="25">
        <f>IFERROR(PROPERTIES[[#This Row],[TE_STARTING_KN]]/(PROPERTIES[[#This Row],[WEIGHT]]*9.81),0)</f>
        <v>0.3261977573904179</v>
      </c>
      <c r="U452" s="25">
        <v>0.32</v>
      </c>
      <c r="V452" s="22">
        <f>ROUND(IF(IFERROR(PROPERTIES[[#This Row],[TE_COEFFICIENT_CALC]],0)=0,PROPERTIES[[#This Row],[TE_COEFFICIENT_MANUAL]],PROPERTIES[[#This Row],[TE_COEFFICIENT_CALC]]),3)</f>
        <v>0.32600000000000001</v>
      </c>
      <c r="W452" s="10" cm="1">
        <f t="array" ref="W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2" s="32">
        <v>0</v>
      </c>
      <c r="Y452" s="8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8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9" t="b">
        <v>0</v>
      </c>
      <c r="AY452"/>
      <c r="AZ452"/>
      <c r="BA452"/>
    </row>
    <row r="453" spans="1:53">
      <c r="A453" s="2" t="s">
        <v>473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t="s">
        <v>1754</v>
      </c>
      <c r="F453" t="str">
        <f>_xlfn.XLOOKUP(PROPERTIES[[#This Row],[COUNTRY]],COUNTRIES[COUNTRY_DESCRIPTION],COUNTRIES[COUNTRY_LABEL],"")</f>
        <v>DE</v>
      </c>
      <c r="G453" t="str" cm="1">
        <f t="array" ref="G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3" t="s">
        <v>17</v>
      </c>
      <c r="I453">
        <f>110/2</f>
        <v>55</v>
      </c>
      <c r="J453">
        <v>8</v>
      </c>
      <c r="K453">
        <v>8</v>
      </c>
      <c r="L453" t="str" cm="1">
        <f t="array" ref="L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3">
        <f>_xlfn.XLOOKUP("LOADINGSPEEDDEF_"&amp;PROPERTIES[[#This Row],[LOADINGSPEED]],LOADINGSPEEDDEF[TYPE],LOADINGSPEEDDEF[SPEED])</f>
        <v>40</v>
      </c>
      <c r="N453" cm="1">
        <f t="array" ref="N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3">
        <f>IF(ISNUMBER(SEARCH("passenger",PROPERTIES[[#This Row],[CARGODEF]])),1,0)</f>
        <v>1</v>
      </c>
      <c r="P453" s="29">
        <f>85/2</f>
        <v>42.5</v>
      </c>
      <c r="Q453">
        <v>810</v>
      </c>
      <c r="R453">
        <v>160</v>
      </c>
      <c r="S453" s="26">
        <f>53/2</f>
        <v>26.5</v>
      </c>
      <c r="T453" s="25">
        <f>IFERROR(PROPERTIES[[#This Row],[TE_STARTING_KN]]/(PROPERTIES[[#This Row],[WEIGHT]]*9.81),0)</f>
        <v>6.3560592432691729E-2</v>
      </c>
      <c r="U453" s="25">
        <v>0.19</v>
      </c>
      <c r="V453" s="22">
        <f>ROUND(IF(IFERROR(PROPERTIES[[#This Row],[TE_COEFFICIENT_CALC]],0)=0,PROPERTIES[[#This Row],[TE_COEFFICIENT_MANUAL]],PROPERTIES[[#This Row],[TE_COEFFICIENT_CALC]]),3)</f>
        <v>6.4000000000000001E-2</v>
      </c>
      <c r="W453" s="10" cm="1">
        <f t="array" ref="W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453" s="32">
        <f>INT(139/2)</f>
        <v>69</v>
      </c>
      <c r="Y453" s="8">
        <v>8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8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9" t="b">
        <v>0</v>
      </c>
      <c r="AY453"/>
      <c r="AZ453"/>
      <c r="BA453"/>
    </row>
    <row r="454" spans="1:53">
      <c r="A454" s="2" t="s">
        <v>474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t="s">
        <v>1710</v>
      </c>
      <c r="F454" t="str">
        <f>_xlfn.XLOOKUP(PROPERTIES[[#This Row],[COUNTRY]],COUNTRIES[COUNTRY_DESCRIPTION],COUNTRIES[COUNTRY_LABEL],"")</f>
        <v>AU</v>
      </c>
      <c r="G454" t="str" cm="1">
        <f t="array" ref="G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4" t="s">
        <v>17</v>
      </c>
      <c r="I454">
        <v>0</v>
      </c>
      <c r="J454">
        <v>7</v>
      </c>
      <c r="K454">
        <v>7</v>
      </c>
      <c r="L454" t="str" cm="1">
        <f t="array" ref="L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4">
        <f>_xlfn.XLOOKUP("LOADINGSPEEDDEF_"&amp;PROPERTIES[[#This Row],[LOADINGSPEED]],LOADINGSPEEDDEF[TYPE],LOADINGSPEEDDEF[SPEED])</f>
        <v>40</v>
      </c>
      <c r="N454" cm="1">
        <f t="array" ref="N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4">
        <f>IF(ISNUMBER(SEARCH("passenger",PROPERTIES[[#This Row],[CARGODEF]])),1,0)</f>
        <v>1</v>
      </c>
      <c r="P454" s="29">
        <f>64/2</f>
        <v>32</v>
      </c>
      <c r="Q454">
        <v>660</v>
      </c>
      <c r="R454">
        <v>160</v>
      </c>
      <c r="S454" s="26">
        <f>85/2</f>
        <v>42.5</v>
      </c>
      <c r="T454" s="25">
        <f>IFERROR(PROPERTIES[[#This Row],[TE_STARTING_KN]]/(PROPERTIES[[#This Row],[WEIGHT]]*9.81),0)</f>
        <v>0.13538481141692149</v>
      </c>
      <c r="U454" s="25">
        <v>0.2</v>
      </c>
      <c r="V454" s="22">
        <f>ROUND(IF(IFERROR(PROPERTIES[[#This Row],[TE_COEFFICIENT_CALC]],0)=0,PROPERTIES[[#This Row],[TE_COEFFICIENT_MANUAL]],PROPERTIES[[#This Row],[TE_COEFFICIENT_CALC]]),3)</f>
        <v>0.13500000000000001</v>
      </c>
      <c r="W454" s="10" cm="1">
        <f t="array" ref="W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454" s="32">
        <v>60</v>
      </c>
      <c r="Y454" s="8">
        <v>7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8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9" t="b">
        <v>0</v>
      </c>
      <c r="AY454"/>
      <c r="AZ454"/>
      <c r="BA454"/>
    </row>
    <row r="455" spans="1:53">
      <c r="A455" s="2" t="s">
        <v>475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t="s">
        <v>1753</v>
      </c>
      <c r="F455" t="str">
        <f>_xlfn.XLOOKUP(PROPERTIES[[#This Row],[COUNTRY]],COUNTRIES[COUNTRY_DESCRIPTION],COUNTRIES[COUNTRY_LABEL],"")</f>
        <v>CZ</v>
      </c>
      <c r="G455" t="str" cm="1">
        <f t="array" ref="G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5" t="s">
        <v>17</v>
      </c>
      <c r="I455">
        <v>60</v>
      </c>
      <c r="J455">
        <v>6</v>
      </c>
      <c r="K455">
        <v>6</v>
      </c>
      <c r="L455" t="str" cm="1">
        <f t="array" ref="L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5">
        <f>_xlfn.XLOOKUP("LOADINGSPEEDDEF_"&amp;PROPERTIES[[#This Row],[LOADINGSPEED]],LOADINGSPEEDDEF[TYPE],LOADINGSPEEDDEF[SPEED])</f>
        <v>40</v>
      </c>
      <c r="N455" cm="1">
        <f t="array" ref="N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5">
        <f>IF(ISNUMBER(SEARCH("passenger",PROPERTIES[[#This Row],[CARGODEF]])),1,0)</f>
        <v>1</v>
      </c>
      <c r="P455" s="29">
        <f>16.6/2</f>
        <v>8.3000000000000007</v>
      </c>
      <c r="Q455">
        <v>152</v>
      </c>
      <c r="R455">
        <v>60</v>
      </c>
      <c r="S455" s="26">
        <f>29/2</f>
        <v>14.5</v>
      </c>
      <c r="T455" s="25">
        <f>IFERROR(PROPERTIES[[#This Row],[TE_STARTING_KN]]/(PROPERTIES[[#This Row],[WEIGHT]]*9.81),0)</f>
        <v>0.17808236002112421</v>
      </c>
      <c r="U455" s="25">
        <v>0.21</v>
      </c>
      <c r="V455" s="22">
        <f>ROUND(IF(IFERROR(PROPERTIES[[#This Row],[TE_COEFFICIENT_CALC]],0)=0,PROPERTIES[[#This Row],[TE_COEFFICIENT_MANUAL]],PROPERTIES[[#This Row],[TE_COEFFICIENT_CALC]]),3)</f>
        <v>0.17799999999999999</v>
      </c>
      <c r="W455" s="10" cm="1">
        <f t="array" ref="W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55" s="32">
        <v>69</v>
      </c>
      <c r="Y455" s="8">
        <v>6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8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9" t="b">
        <v>0</v>
      </c>
      <c r="AY455"/>
      <c r="AZ455"/>
      <c r="BA455"/>
    </row>
    <row r="456" spans="1:53">
      <c r="A456" s="2" t="s">
        <v>476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t="s">
        <v>1754</v>
      </c>
      <c r="F456" t="str">
        <f>_xlfn.XLOOKUP(PROPERTIES[[#This Row],[COUNTRY]],COUNTRIES[COUNTRY_DESCRIPTION],COUNTRIES[COUNTRY_LABEL],"")</f>
        <v>DE</v>
      </c>
      <c r="G456" t="str" cm="1">
        <f t="array" ref="G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6" t="s">
        <v>17</v>
      </c>
      <c r="I456">
        <f>108/2</f>
        <v>54</v>
      </c>
      <c r="J456">
        <v>8</v>
      </c>
      <c r="K456">
        <v>8</v>
      </c>
      <c r="L456" t="str" cm="1">
        <f t="array" ref="L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6">
        <f>_xlfn.XLOOKUP("LOADINGSPEEDDEF_"&amp;PROPERTIES[[#This Row],[LOADINGSPEED]],LOADINGSPEEDDEF[TYPE],LOADINGSPEEDDEF[SPEED])</f>
        <v>40</v>
      </c>
      <c r="N456" cm="1">
        <f t="array" ref="N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6">
        <f>IF(ISNUMBER(SEARCH("passenger",PROPERTIES[[#This Row],[CARGODEF]])),1,0)</f>
        <v>1</v>
      </c>
      <c r="P456" s="29">
        <f>121/3</f>
        <v>40.333333333333336</v>
      </c>
      <c r="Q456">
        <v>986</v>
      </c>
      <c r="R456">
        <v>140</v>
      </c>
      <c r="S456" s="26">
        <f>105/2</f>
        <v>52.5</v>
      </c>
      <c r="T456" s="25">
        <f>IFERROR(PROPERTIES[[#This Row],[TE_STARTING_KN]]/(PROPERTIES[[#This Row],[WEIGHT]]*9.81),0)</f>
        <v>0.13268632951702175</v>
      </c>
      <c r="U456" s="25">
        <v>0.2</v>
      </c>
      <c r="V456" s="22">
        <f>ROUND(IF(IFERROR(PROPERTIES[[#This Row],[TE_COEFFICIENT_CALC]],0)=0,PROPERTIES[[#This Row],[TE_COEFFICIENT_MANUAL]],PROPERTIES[[#This Row],[TE_COEFFICIENT_CALC]]),3)</f>
        <v>0.13300000000000001</v>
      </c>
      <c r="W456" s="10" cm="1">
        <f t="array" ref="W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6" s="32">
        <f>INT(108/3)</f>
        <v>36</v>
      </c>
      <c r="Y456" s="8">
        <v>8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8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9" t="b">
        <v>0</v>
      </c>
      <c r="AY456"/>
      <c r="AZ456"/>
      <c r="BA456"/>
    </row>
    <row r="457" spans="1:53">
      <c r="A457" s="2" t="s">
        <v>477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t="s">
        <v>1710</v>
      </c>
      <c r="F457" t="str">
        <f>_xlfn.XLOOKUP(PROPERTIES[[#This Row],[COUNTRY]],COUNTRIES[COUNTRY_DESCRIPTION],COUNTRIES[COUNTRY_LABEL],"")</f>
        <v>AU</v>
      </c>
      <c r="G457" t="str" cm="1">
        <f t="array" ref="G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7" t="s">
        <v>17</v>
      </c>
      <c r="I457">
        <v>80</v>
      </c>
      <c r="J457">
        <v>8</v>
      </c>
      <c r="K457">
        <v>8</v>
      </c>
      <c r="L457" t="str" cm="1">
        <f t="array" ref="L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7">
        <f>_xlfn.XLOOKUP("LOADINGSPEEDDEF_"&amp;PROPERTIES[[#This Row],[LOADINGSPEED]],LOADINGSPEEDDEF[TYPE],LOADINGSPEEDDEF[SPEED])</f>
        <v>40</v>
      </c>
      <c r="N457" cm="1">
        <f t="array" ref="N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7">
        <f>IF(ISNUMBER(SEARCH("passenger",PROPERTIES[[#This Row],[CARGODEF]])),1,0)</f>
        <v>1</v>
      </c>
      <c r="P457" s="29">
        <f>40.7/2</f>
        <v>20.350000000000001</v>
      </c>
      <c r="Q457">
        <v>220</v>
      </c>
      <c r="R457">
        <v>88</v>
      </c>
      <c r="S457" s="26">
        <f>58/2</f>
        <v>29</v>
      </c>
      <c r="T457" s="25">
        <f>IFERROR(PROPERTIES[[#This Row],[TE_STARTING_KN]]/(PROPERTIES[[#This Row],[WEIGHT]]*9.81),0)</f>
        <v>0.14526620031207185</v>
      </c>
      <c r="U457" s="25">
        <v>0.18</v>
      </c>
      <c r="V457" s="22">
        <f>ROUND(IF(IFERROR(PROPERTIES[[#This Row],[TE_COEFFICIENT_CALC]],0)=0,PROPERTIES[[#This Row],[TE_COEFFICIENT_MANUAL]],PROPERTIES[[#This Row],[TE_COEFFICIENT_CALC]]),3)</f>
        <v>0.14499999999999999</v>
      </c>
      <c r="W457" s="10" cm="1">
        <f t="array" ref="W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7" s="32">
        <v>80</v>
      </c>
      <c r="Y457" s="8">
        <v>8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8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9" t="b">
        <v>0</v>
      </c>
      <c r="AY457"/>
      <c r="AZ457"/>
      <c r="BA457"/>
    </row>
    <row r="458" spans="1:53">
      <c r="A458" s="2" t="s">
        <v>478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t="s">
        <v>1754</v>
      </c>
      <c r="F458" t="str">
        <f>_xlfn.XLOOKUP(PROPERTIES[[#This Row],[COUNTRY]],COUNTRIES[COUNTRY_DESCRIPTION],COUNTRIES[COUNTRY_LABEL],"")</f>
        <v>DE</v>
      </c>
      <c r="G458" t="str" cm="1">
        <f t="array" ref="G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8" t="s">
        <v>17</v>
      </c>
      <c r="I458">
        <v>24</v>
      </c>
      <c r="J458">
        <v>8</v>
      </c>
      <c r="K458">
        <v>8</v>
      </c>
      <c r="L458" t="str" cm="1">
        <f t="array" ref="L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8">
        <f>_xlfn.XLOOKUP("LOADINGSPEEDDEF_"&amp;PROPERTIES[[#This Row],[LOADINGSPEED]],LOADINGSPEEDDEF[TYPE],LOADINGSPEEDDEF[SPEED])</f>
        <v>40</v>
      </c>
      <c r="N458" cm="1">
        <f t="array" ref="N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8">
        <f>IF(ISNUMBER(SEARCH("passenger",PROPERTIES[[#This Row],[CARGODEF]])),1,0)</f>
        <v>1</v>
      </c>
      <c r="P458" s="29">
        <f>44.2/2</f>
        <v>22.1</v>
      </c>
      <c r="Q458">
        <v>2200</v>
      </c>
      <c r="R458">
        <v>160</v>
      </c>
      <c r="S458" s="26">
        <f>110/2</f>
        <v>55</v>
      </c>
      <c r="T458" s="25">
        <f>IFERROR(PROPERTIES[[#This Row],[TE_STARTING_KN]]/(PROPERTIES[[#This Row],[WEIGHT]]*9.81),0)</f>
        <v>0.25368886674876961</v>
      </c>
      <c r="U458" s="25">
        <v>0.18</v>
      </c>
      <c r="V458" s="22">
        <f>ROUND(IF(IFERROR(PROPERTIES[[#This Row],[TE_COEFFICIENT_CALC]],0)=0,PROPERTIES[[#This Row],[TE_COEFFICIENT_MANUAL]],PROPERTIES[[#This Row],[TE_COEFFICIENT_CALC]]),3)</f>
        <v>0.254</v>
      </c>
      <c r="W458" s="10" cm="1">
        <f t="array" ref="W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8" s="32">
        <v>34</v>
      </c>
      <c r="Y458" s="8">
        <v>8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8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9" t="b">
        <v>0</v>
      </c>
      <c r="AY458"/>
      <c r="AZ458"/>
      <c r="BA458"/>
    </row>
    <row r="459" spans="1:53">
      <c r="A459" s="2" t="s">
        <v>479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t="s">
        <v>1862</v>
      </c>
      <c r="F459" t="str">
        <f>_xlfn.XLOOKUP(PROPERTIES[[#This Row],[COUNTRY]],COUNTRIES[COUNTRY_DESCRIPTION],COUNTRIES[COUNTRY_LABEL],"")</f>
        <v>NL</v>
      </c>
      <c r="G459" t="str" cm="1">
        <f t="array" ref="G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9" t="s">
        <v>17</v>
      </c>
      <c r="I459">
        <v>64</v>
      </c>
      <c r="J459">
        <v>8</v>
      </c>
      <c r="K459">
        <v>8</v>
      </c>
      <c r="L459" t="str" cm="1">
        <f t="array" ref="L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9">
        <f>_xlfn.XLOOKUP("LOADINGSPEEDDEF_"&amp;PROPERTIES[[#This Row],[LOADINGSPEED]],LOADINGSPEEDDEF[TYPE],LOADINGSPEEDDEF[SPEED])</f>
        <v>40</v>
      </c>
      <c r="N459" cm="1">
        <f t="array" ref="N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9">
        <f>IF(ISNUMBER(SEARCH("passenger",PROPERTIES[[#This Row],[CARGODEF]])),1,0)</f>
        <v>1</v>
      </c>
      <c r="P459" s="29">
        <f>136/3</f>
        <v>45.333333333333336</v>
      </c>
      <c r="Q459">
        <v>987</v>
      </c>
      <c r="R459">
        <v>125</v>
      </c>
      <c r="S459" s="26">
        <f>125/2</f>
        <v>62.5</v>
      </c>
      <c r="T459" s="25">
        <f>IFERROR(PROPERTIES[[#This Row],[TE_STARTING_KN]]/(PROPERTIES[[#This Row],[WEIGHT]]*9.81),0)</f>
        <v>0.14053786652275588</v>
      </c>
      <c r="U459" s="25">
        <v>0.21</v>
      </c>
      <c r="V459" s="22">
        <f>ROUND(IF(IFERROR(PROPERTIES[[#This Row],[TE_COEFFICIENT_CALC]],0)=0,PROPERTIES[[#This Row],[TE_COEFFICIENT_MANUAL]],PROPERTIES[[#This Row],[TE_COEFFICIENT_CALC]]),3)</f>
        <v>0.14099999999999999</v>
      </c>
      <c r="W459" s="10" cm="1">
        <f t="array" ref="W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9" s="32">
        <f>INT((168+24)/2)</f>
        <v>96</v>
      </c>
      <c r="Y459" s="8">
        <v>8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8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9" t="b">
        <v>0</v>
      </c>
      <c r="AY459"/>
      <c r="AZ459"/>
      <c r="BA459"/>
    </row>
    <row r="460" spans="1:53">
      <c r="A460" s="2" t="s">
        <v>480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t="s">
        <v>1735</v>
      </c>
      <c r="F460" t="str">
        <f>_xlfn.XLOOKUP(PROPERTIES[[#This Row],[COUNTRY]],COUNTRIES[COUNTRY_DESCRIPTION],COUNTRIES[COUNTRY_LABEL],"")</f>
        <v>CA</v>
      </c>
      <c r="G460" t="str" cm="1">
        <f t="array" ref="G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0" t="s">
        <v>17</v>
      </c>
      <c r="I460">
        <v>46</v>
      </c>
      <c r="J460">
        <v>8</v>
      </c>
      <c r="K460">
        <v>8</v>
      </c>
      <c r="L460" t="str" cm="1">
        <f t="array" ref="L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0">
        <f>_xlfn.XLOOKUP("LOADINGSPEEDDEF_"&amp;PROPERTIES[[#This Row],[LOADINGSPEED]],LOADINGSPEEDDEF[TYPE],LOADINGSPEEDDEF[SPEED])</f>
        <v>16</v>
      </c>
      <c r="N460" cm="1">
        <f t="array" ref="N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0">
        <f>IF(ISNUMBER(SEARCH("passenger",PROPERTIES[[#This Row],[CARGODEF]])),1,0)</f>
        <v>1</v>
      </c>
      <c r="P460" s="29">
        <f>INT(165/7)</f>
        <v>23</v>
      </c>
      <c r="Q460">
        <v>2000</v>
      </c>
      <c r="R460">
        <v>193</v>
      </c>
      <c r="S460" s="26">
        <f>80/2</f>
        <v>40</v>
      </c>
      <c r="T460" s="25">
        <f>IFERROR(PROPERTIES[[#This Row],[TE_STARTING_KN]]/(PROPERTIES[[#This Row],[WEIGHT]]*9.81),0)</f>
        <v>0.17728138988609668</v>
      </c>
      <c r="U460" s="25">
        <v>0.45</v>
      </c>
      <c r="V460" s="22">
        <f>ROUND(IF(IFERROR(PROPERTIES[[#This Row],[TE_COEFFICIENT_CALC]],0)=0,PROPERTIES[[#This Row],[TE_COEFFICIENT_MANUAL]],PROPERTIES[[#This Row],[TE_COEFFICIENT_CALC]]),3)</f>
        <v>0.17699999999999999</v>
      </c>
      <c r="W460" s="10" cm="1">
        <f t="array" ref="W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0" s="32">
        <f>INT((322-(PROPERTIES[[#This Row],[HEAD_CAPACITY]]*2))/5)</f>
        <v>46</v>
      </c>
      <c r="Y460" s="8">
        <v>8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8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9" t="b">
        <v>0</v>
      </c>
      <c r="AY460"/>
      <c r="AZ460"/>
      <c r="BA460"/>
    </row>
    <row r="461" spans="1:53">
      <c r="A461" s="2" t="s">
        <v>481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t="s">
        <v>1886</v>
      </c>
      <c r="F461" t="str">
        <f>_xlfn.XLOOKUP(PROPERTIES[[#This Row],[COUNTRY]],COUNTRIES[COUNTRY_DESCRIPTION],COUNTRIES[COUNTRY_LABEL],"")</f>
        <v>RS</v>
      </c>
      <c r="G461" t="str" cm="1">
        <f t="array" ref="G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1" t="s">
        <v>17</v>
      </c>
      <c r="I461">
        <v>38</v>
      </c>
      <c r="J461">
        <v>8</v>
      </c>
      <c r="K461">
        <v>8</v>
      </c>
      <c r="L461" t="str" cm="1">
        <f t="array" ref="L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1">
        <f>_xlfn.XLOOKUP("LOADINGSPEEDDEF_"&amp;PROPERTIES[[#This Row],[LOADINGSPEED]],LOADINGSPEEDDEF[TYPE],LOADINGSPEEDDEF[SPEED])</f>
        <v>40</v>
      </c>
      <c r="N461" cm="1">
        <f t="array" ref="N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1">
        <f>IF(ISNUMBER(SEARCH("passenger",PROPERTIES[[#This Row],[CARGODEF]])),1,0)</f>
        <v>1</v>
      </c>
      <c r="P461" s="29">
        <f>42/2</f>
        <v>21</v>
      </c>
      <c r="Q461">
        <v>620</v>
      </c>
      <c r="R461">
        <v>118</v>
      </c>
      <c r="S461" s="26">
        <f>95/2</f>
        <v>47.5</v>
      </c>
      <c r="T461" s="25">
        <f>IFERROR(PROPERTIES[[#This Row],[TE_STARTING_KN]]/(PROPERTIES[[#This Row],[WEIGHT]]*9.81),0)</f>
        <v>0.23057133148876266</v>
      </c>
      <c r="U461" s="25">
        <v>0.2</v>
      </c>
      <c r="V461" s="22">
        <f>ROUND(IF(IFERROR(PROPERTIES[[#This Row],[TE_COEFFICIENT_CALC]],0)=0,PROPERTIES[[#This Row],[TE_COEFFICIENT_MANUAL]],PROPERTIES[[#This Row],[TE_COEFFICIENT_CALC]]),3)</f>
        <v>0.23100000000000001</v>
      </c>
      <c r="W461" s="10" cm="1">
        <f t="array" ref="W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1" s="32">
        <v>38</v>
      </c>
      <c r="Y461" s="8">
        <v>8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8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9" t="b">
        <v>0</v>
      </c>
      <c r="AY461"/>
      <c r="AZ461"/>
      <c r="BA461"/>
    </row>
    <row r="462" spans="1:53">
      <c r="A462" s="2" t="s">
        <v>482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t="s">
        <v>1773</v>
      </c>
      <c r="F462" t="str">
        <f>_xlfn.XLOOKUP(PROPERTIES[[#This Row],[COUNTRY]],COUNTRIES[COUNTRY_DESCRIPTION],COUNTRIES[COUNTRY_LABEL],"")</f>
        <v>GB</v>
      </c>
      <c r="G462" t="str" cm="1">
        <f t="array" ref="G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2" t="s">
        <v>17</v>
      </c>
      <c r="I462">
        <v>0</v>
      </c>
      <c r="J462">
        <v>8</v>
      </c>
      <c r="K462">
        <v>8</v>
      </c>
      <c r="L462" t="str" cm="1">
        <f t="array" ref="L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2">
        <f>_xlfn.XLOOKUP("LOADINGSPEEDDEF_"&amp;PROPERTIES[[#This Row],[LOADINGSPEED]],LOADINGSPEEDDEF[TYPE],LOADINGSPEEDDEF[SPEED])</f>
        <v>16</v>
      </c>
      <c r="N462" cm="1">
        <f t="array" ref="N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2">
        <f>IF(ISNUMBER(SEARCH("passenger",PROPERTIES[[#This Row],[CARGODEF]])),1,0)</f>
        <v>1</v>
      </c>
      <c r="P462" s="29">
        <v>35</v>
      </c>
      <c r="Q462">
        <f>2250*2</f>
        <v>4500</v>
      </c>
      <c r="R462">
        <v>201</v>
      </c>
      <c r="S462" s="26">
        <f>178/2</f>
        <v>89</v>
      </c>
      <c r="T462" s="25">
        <f>IFERROR(PROPERTIES[[#This Row],[TE_STARTING_KN]]/(PROPERTIES[[#This Row],[WEIGHT]]*9.81),0)</f>
        <v>0.25921071792631423</v>
      </c>
      <c r="U462" s="25">
        <v>0.57999999999999996</v>
      </c>
      <c r="V462" s="22">
        <f>ROUND(IF(IFERROR(PROPERTIES[[#This Row],[TE_COEFFICIENT_CALC]],0)=0,PROPERTIES[[#This Row],[TE_COEFFICIENT_MANUAL]],PROPERTIES[[#This Row],[TE_COEFFICIENT_CALC]]),3)</f>
        <v>0.25900000000000001</v>
      </c>
      <c r="W462" s="10" cm="1">
        <f t="array" ref="W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2" s="32">
        <v>74</v>
      </c>
      <c r="Y462" s="8">
        <v>8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8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9" t="b">
        <v>0</v>
      </c>
      <c r="AY462"/>
      <c r="AZ462"/>
      <c r="BA462"/>
    </row>
    <row r="463" spans="1:53">
      <c r="A463" s="2" t="s">
        <v>483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t="s">
        <v>1735</v>
      </c>
      <c r="F463" t="str">
        <f>_xlfn.XLOOKUP(PROPERTIES[[#This Row],[COUNTRY]],COUNTRIES[COUNTRY_DESCRIPTION],COUNTRIES[COUNTRY_LABEL],"")</f>
        <v>CA</v>
      </c>
      <c r="G463" t="str" cm="1">
        <f t="array" ref="G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3" t="s">
        <v>17</v>
      </c>
      <c r="I463">
        <v>0</v>
      </c>
      <c r="J463">
        <v>8</v>
      </c>
      <c r="K463">
        <v>8</v>
      </c>
      <c r="L463" t="str" cm="1">
        <f t="array" ref="L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3">
        <f>_xlfn.XLOOKUP("LOADINGSPEEDDEF_"&amp;PROPERTIES[[#This Row],[LOADINGSPEED]],LOADINGSPEEDDEF[TYPE],LOADINGSPEEDDEF[SPEED])</f>
        <v>40</v>
      </c>
      <c r="N463" cm="1">
        <f t="array" ref="N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3">
        <f>IF(ISNUMBER(SEARCH("passenger",PROPERTIES[[#This Row],[CARGODEF]])),1,0)</f>
        <v>1</v>
      </c>
      <c r="P463" s="29">
        <f>113/2</f>
        <v>56.5</v>
      </c>
      <c r="Q463">
        <f>2700*2</f>
        <v>5400</v>
      </c>
      <c r="R463">
        <v>153</v>
      </c>
      <c r="S463" s="26">
        <f>245/2</f>
        <v>122.5</v>
      </c>
      <c r="T463" s="25">
        <f>IFERROR(PROPERTIES[[#This Row],[TE_STARTING_KN]]/(PROPERTIES[[#This Row],[WEIGHT]]*9.81),0)</f>
        <v>0.22101341416109624</v>
      </c>
      <c r="U463" s="25">
        <v>0.2</v>
      </c>
      <c r="V463" s="22">
        <f>ROUND(IF(IFERROR(PROPERTIES[[#This Row],[TE_COEFFICIENT_CALC]],0)=0,PROPERTIES[[#This Row],[TE_COEFFICIENT_MANUAL]],PROPERTIES[[#This Row],[TE_COEFFICIENT_CALC]]),3)</f>
        <v>0.221</v>
      </c>
      <c r="W463" s="10" cm="1">
        <f t="array" ref="W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3" s="32">
        <v>68</v>
      </c>
      <c r="Y463" s="8">
        <v>8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8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9" t="b">
        <v>0</v>
      </c>
      <c r="AY463"/>
      <c r="AZ463"/>
      <c r="BA463"/>
    </row>
    <row r="464" spans="1:53">
      <c r="A464" s="2" t="s">
        <v>484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t="s">
        <v>1893</v>
      </c>
      <c r="F464" t="str">
        <f>_xlfn.XLOOKUP(PROPERTIES[[#This Row],[COUNTRY]],COUNTRIES[COUNTRY_DESCRIPTION],COUNTRIES[COUNTRY_LABEL],"")</f>
        <v>SE</v>
      </c>
      <c r="G464" t="str" cm="1">
        <f t="array" ref="G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4" t="s">
        <v>17</v>
      </c>
      <c r="I464">
        <v>48</v>
      </c>
      <c r="J464">
        <v>8</v>
      </c>
      <c r="K464">
        <v>8</v>
      </c>
      <c r="L464" t="str" cm="1">
        <f t="array" ref="L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4">
        <f>_xlfn.XLOOKUP("LOADINGSPEEDDEF_"&amp;PROPERTIES[[#This Row],[LOADINGSPEED]],LOADINGSPEEDDEF[TYPE],LOADINGSPEEDDEF[SPEED])</f>
        <v>16</v>
      </c>
      <c r="N464" t="str" cm="1">
        <f t="array" ref="N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4">
        <f>IF(ISNUMBER(SEARCH("passenger",PROPERTIES[[#This Row],[CARGODEF]])),1,0)</f>
        <v>1</v>
      </c>
      <c r="P464" s="29">
        <f>INT(97/2)</f>
        <v>48</v>
      </c>
      <c r="Q464">
        <f>1600*2</f>
        <v>3200</v>
      </c>
      <c r="R464">
        <v>180</v>
      </c>
      <c r="S464" s="26">
        <f>115/2</f>
        <v>57.5</v>
      </c>
      <c r="T464" s="25">
        <f>IFERROR(PROPERTIES[[#This Row],[TE_STARTING_KN]]/(PROPERTIES[[#This Row],[WEIGHT]]*9.81),0)</f>
        <v>0.12211179068977235</v>
      </c>
      <c r="U464" s="25">
        <v>0.25</v>
      </c>
      <c r="V464" s="22">
        <f>ROUND(IF(IFERROR(PROPERTIES[[#This Row],[TE_COEFFICIENT_CALC]],0)=0,PROPERTIES[[#This Row],[TE_COEFFICIENT_MANUAL]],PROPERTIES[[#This Row],[TE_COEFFICIENT_CALC]]),3)</f>
        <v>0.122</v>
      </c>
      <c r="W464" s="10" cm="1">
        <f t="array" ref="W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4" s="32">
        <v>48</v>
      </c>
      <c r="Y464" s="8">
        <v>8</v>
      </c>
      <c r="Z464" t="s">
        <v>878</v>
      </c>
      <c r="AA464" t="s">
        <v>872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8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9" t="b">
        <v>0</v>
      </c>
      <c r="AY464"/>
      <c r="AZ464"/>
      <c r="BA464"/>
    </row>
    <row r="465" spans="1:53">
      <c r="A465" s="2" t="s">
        <v>485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t="s">
        <v>1765</v>
      </c>
      <c r="F465" t="str">
        <f>_xlfn.XLOOKUP(PROPERTIES[[#This Row],[COUNTRY]],COUNTRIES[COUNTRY_DESCRIPTION],COUNTRIES[COUNTRY_LABEL],"")</f>
        <v>ES</v>
      </c>
      <c r="G465" t="str" cm="1">
        <f t="array" ref="G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5" t="s">
        <v>17</v>
      </c>
      <c r="I465">
        <v>42</v>
      </c>
      <c r="J465">
        <v>8</v>
      </c>
      <c r="K465">
        <v>8</v>
      </c>
      <c r="L465" t="str" cm="1">
        <f t="array" ref="L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5">
        <f>_xlfn.XLOOKUP("LOADINGSPEEDDEF_"&amp;PROPERTIES[[#This Row],[LOADINGSPEED]],LOADINGSPEEDDEF[TYPE],LOADINGSPEEDDEF[SPEED])</f>
        <v>40</v>
      </c>
      <c r="N465" t="str" cm="1">
        <f t="array" ref="N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5">
        <f>IF(ISNUMBER(SEARCH("passenger",PROPERTIES[[#This Row],[CARGODEF]])),1,0)</f>
        <v>1</v>
      </c>
      <c r="P465" s="29">
        <v>49</v>
      </c>
      <c r="Q465">
        <v>3200</v>
      </c>
      <c r="R465">
        <v>160</v>
      </c>
      <c r="S465" s="26">
        <f>120/2</f>
        <v>60</v>
      </c>
      <c r="T465" s="25">
        <f>IFERROR(PROPERTIES[[#This Row],[TE_STARTING_KN]]/(PROPERTIES[[#This Row],[WEIGHT]]*9.81),0)</f>
        <v>0.12482057043000687</v>
      </c>
      <c r="U465" s="25">
        <v>0.24</v>
      </c>
      <c r="V465" s="22">
        <f>ROUND(IF(IFERROR(PROPERTIES[[#This Row],[TE_COEFFICIENT_CALC]],0)=0,PROPERTIES[[#This Row],[TE_COEFFICIENT_MANUAL]],PROPERTIES[[#This Row],[TE_COEFFICIENT_CALC]]),3)</f>
        <v>0.125</v>
      </c>
      <c r="W465" s="10" cm="1">
        <f t="array" ref="W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5" s="32">
        <f>126/3</f>
        <v>42</v>
      </c>
      <c r="Y465" s="8">
        <v>8</v>
      </c>
      <c r="Z465" t="s">
        <v>878</v>
      </c>
      <c r="AA465" t="s">
        <v>872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8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9" t="b">
        <v>0</v>
      </c>
      <c r="AY465"/>
      <c r="AZ465"/>
      <c r="BA465"/>
    </row>
    <row r="466" spans="1:53">
      <c r="A466" s="2" t="s">
        <v>486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t="s">
        <v>1773</v>
      </c>
      <c r="F466" t="str">
        <f>_xlfn.XLOOKUP(PROPERTIES[[#This Row],[COUNTRY]],COUNTRIES[COUNTRY_DESCRIPTION],COUNTRIES[COUNTRY_LABEL],"")</f>
        <v>GB</v>
      </c>
      <c r="G466" t="str" cm="1">
        <f t="array" ref="G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6" t="s">
        <v>17</v>
      </c>
      <c r="I466">
        <f>INT(204/3)</f>
        <v>68</v>
      </c>
      <c r="J466">
        <v>8</v>
      </c>
      <c r="K466">
        <v>8</v>
      </c>
      <c r="L466" t="str" cm="1">
        <f t="array" ref="L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6">
        <f>_xlfn.XLOOKUP("LOADINGSPEEDDEF_"&amp;PROPERTIES[[#This Row],[LOADINGSPEED]],LOADINGSPEEDDEF[TYPE],LOADINGSPEEDDEF[SPEED])</f>
        <v>40</v>
      </c>
      <c r="N466" t="str" cm="1">
        <f t="array" ref="N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6">
        <f>IF(ISNUMBER(SEARCH("passenger",PROPERTIES[[#This Row],[CARGODEF]])),1,0)</f>
        <v>1</v>
      </c>
      <c r="P466" s="29">
        <v>50</v>
      </c>
      <c r="Q466">
        <f>422*2</f>
        <v>844</v>
      </c>
      <c r="R466">
        <v>160</v>
      </c>
      <c r="S466" s="26">
        <f>112/2</f>
        <v>56</v>
      </c>
      <c r="T466" s="25">
        <f>IFERROR(PROPERTIES[[#This Row],[TE_STARTING_KN]]/(PROPERTIES[[#This Row],[WEIGHT]]*9.81),0)</f>
        <v>0.11416921508664628</v>
      </c>
      <c r="U466" s="25">
        <v>0.39</v>
      </c>
      <c r="V466" s="22">
        <f>ROUND(IF(IFERROR(PROPERTIES[[#This Row],[TE_COEFFICIENT_CALC]],0)=0,PROPERTIES[[#This Row],[TE_COEFFICIENT_MANUAL]],PROPERTIES[[#This Row],[TE_COEFFICIENT_CALC]]),3)</f>
        <v>0.114</v>
      </c>
      <c r="W466" s="10" cm="1">
        <f t="array" ref="W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6" s="32">
        <f>INT(204/3)</f>
        <v>68</v>
      </c>
      <c r="Y466" s="8">
        <v>8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8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9" t="b">
        <v>0</v>
      </c>
      <c r="AY466"/>
      <c r="AZ466"/>
      <c r="BA466"/>
    </row>
    <row r="467" spans="1:53">
      <c r="A467" s="2" t="s">
        <v>487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t="s">
        <v>1754</v>
      </c>
      <c r="F467" t="str">
        <f>_xlfn.XLOOKUP(PROPERTIES[[#This Row],[COUNTRY]],COUNTRIES[COUNTRY_DESCRIPTION],COUNTRIES[COUNTRY_LABEL],"")</f>
        <v>DE</v>
      </c>
      <c r="G467" t="str" cm="1">
        <f t="array" ref="G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7" t="s">
        <v>17</v>
      </c>
      <c r="I467">
        <v>73</v>
      </c>
      <c r="J467">
        <v>8</v>
      </c>
      <c r="K467">
        <v>8</v>
      </c>
      <c r="L467" t="str" cm="1">
        <f t="array" ref="L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7">
        <f>_xlfn.XLOOKUP("LOADINGSPEEDDEF_"&amp;PROPERTIES[[#This Row],[LOADINGSPEED]],LOADINGSPEEDDEF[TYPE],LOADINGSPEEDDEF[SPEED])</f>
        <v>40</v>
      </c>
      <c r="N467" t="str" cm="1">
        <f t="array" ref="N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7">
        <f>IF(ISNUMBER(SEARCH("passenger",PROPERTIES[[#This Row],[CARGODEF]])),1,0)</f>
        <v>1</v>
      </c>
      <c r="P467" s="29">
        <v>58</v>
      </c>
      <c r="Q467">
        <v>1520</v>
      </c>
      <c r="R467">
        <v>160</v>
      </c>
      <c r="S467" s="26">
        <f>145/2</f>
        <v>72.5</v>
      </c>
      <c r="T467" s="25">
        <f>IFERROR(PROPERTIES[[#This Row],[TE_STARTING_KN]]/(PROPERTIES[[#This Row],[WEIGHT]]*9.81),0)</f>
        <v>0.127420998980632</v>
      </c>
      <c r="U467" s="25">
        <v>0.38</v>
      </c>
      <c r="V467" s="22">
        <f>ROUND(IF(IFERROR(PROPERTIES[[#This Row],[TE_COEFFICIENT_CALC]],0)=0,PROPERTIES[[#This Row],[TE_COEFFICIENT_MANUAL]],PROPERTIES[[#This Row],[TE_COEFFICIENT_CALC]]),3)</f>
        <v>0.127</v>
      </c>
      <c r="W467" s="10" cm="1">
        <f t="array" ref="W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7" s="32">
        <v>73</v>
      </c>
      <c r="Y467" s="8">
        <v>8</v>
      </c>
      <c r="Z467" t="s">
        <v>869</v>
      </c>
      <c r="AA467" t="s">
        <v>875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8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9" t="b">
        <v>0</v>
      </c>
      <c r="AY467"/>
      <c r="AZ467"/>
      <c r="BA467"/>
    </row>
    <row r="468" spans="1:53">
      <c r="A468" s="2" t="s">
        <v>488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t="s">
        <v>1754</v>
      </c>
      <c r="F468" t="str">
        <f>_xlfn.XLOOKUP(PROPERTIES[[#This Row],[COUNTRY]],COUNTRIES[COUNTRY_DESCRIPTION],COUNTRIES[COUNTRY_LABEL],"")</f>
        <v>DE</v>
      </c>
      <c r="G468" t="str" cm="1">
        <f t="array" ref="G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8" t="s">
        <v>17</v>
      </c>
      <c r="I468">
        <f>(98+110)/2</f>
        <v>104</v>
      </c>
      <c r="J468">
        <v>8</v>
      </c>
      <c r="K468">
        <v>8</v>
      </c>
      <c r="L468" t="str" cm="1">
        <f t="array" ref="L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8">
        <f>_xlfn.XLOOKUP("LOADINGSPEEDDEF_"&amp;PROPERTIES[[#This Row],[LOADINGSPEED]],LOADINGSPEEDDEF[TYPE],LOADINGSPEEDDEF[SPEED])</f>
        <v>40</v>
      </c>
      <c r="N468" t="str" cm="1">
        <f t="array" ref="N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8">
        <f>IF(ISNUMBER(SEARCH("passenger",PROPERTIES[[#This Row],[CARGODEF]])),1,0)</f>
        <v>1</v>
      </c>
      <c r="P468" s="29">
        <f>88/2</f>
        <v>44</v>
      </c>
      <c r="Q468">
        <f>490*2</f>
        <v>980</v>
      </c>
      <c r="R468">
        <v>120</v>
      </c>
      <c r="S468" s="26">
        <f>85/2</f>
        <v>42.5</v>
      </c>
      <c r="T468" s="25">
        <f>IFERROR(PROPERTIES[[#This Row],[TE_STARTING_KN]]/(PROPERTIES[[#This Row],[WEIGHT]]*9.81),0)</f>
        <v>9.8461681030488357E-2</v>
      </c>
      <c r="U468" s="25">
        <v>0.18</v>
      </c>
      <c r="V468" s="22">
        <f>ROUND(IF(IFERROR(PROPERTIES[[#This Row],[TE_COEFFICIENT_CALC]],0)=0,PROPERTIES[[#This Row],[TE_COEFFICIENT_MANUAL]],PROPERTIES[[#This Row],[TE_COEFFICIENT_CALC]]),3)</f>
        <v>9.8000000000000004E-2</v>
      </c>
      <c r="W468" s="10" cm="1">
        <f t="array" ref="W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8" s="32">
        <f>PROPERTIES[[#This Row],[HEAD_CAPACITY]]</f>
        <v>104</v>
      </c>
      <c r="Y468" s="8">
        <v>8</v>
      </c>
      <c r="Z468" t="s">
        <v>878</v>
      </c>
      <c r="AA468" t="s">
        <v>874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8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9" t="b">
        <v>0</v>
      </c>
      <c r="AY468"/>
      <c r="AZ468"/>
      <c r="BA468"/>
    </row>
    <row r="469" spans="1:53">
      <c r="A469" s="2" t="s">
        <v>489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t="s">
        <v>1756</v>
      </c>
      <c r="F469" t="str">
        <f>_xlfn.XLOOKUP(PROPERTIES[[#This Row],[COUNTRY]],COUNTRIES[COUNTRY_DESCRIPTION],COUNTRIES[COUNTRY_LABEL],"")</f>
        <v>DK</v>
      </c>
      <c r="G469" t="str" cm="1">
        <f t="array" ref="G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9" t="s">
        <v>17</v>
      </c>
      <c r="I469">
        <f>52+85</f>
        <v>137</v>
      </c>
      <c r="J469">
        <v>8</v>
      </c>
      <c r="K469">
        <v>8</v>
      </c>
      <c r="L469" t="str" cm="1">
        <f t="array" ref="L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9">
        <f>_xlfn.XLOOKUP("LOADINGSPEEDDEF_"&amp;PROPERTIES[[#This Row],[LOADINGSPEED]],LOADINGSPEEDDEF[TYPE],LOADINGSPEEDDEF[SPEED])</f>
        <v>40</v>
      </c>
      <c r="N469" t="str" cm="1">
        <f t="array" ref="N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9">
        <f>IF(ISNUMBER(SEARCH("passenger",PROPERTIES[[#This Row],[CARGODEF]])),1,0)</f>
        <v>1</v>
      </c>
      <c r="P469" s="29">
        <v>31</v>
      </c>
      <c r="Q469">
        <v>422</v>
      </c>
      <c r="R469">
        <v>120</v>
      </c>
      <c r="S469" s="26">
        <f>75/2</f>
        <v>37.5</v>
      </c>
      <c r="T469" s="25">
        <f>IFERROR(PROPERTIES[[#This Row],[TE_STARTING_KN]]/(PROPERTIES[[#This Row],[WEIGHT]]*9.81),0)</f>
        <v>0.12331064417480517</v>
      </c>
      <c r="U469" s="25">
        <v>0.39</v>
      </c>
      <c r="V469" s="22">
        <f>ROUND(IF(IFERROR(PROPERTIES[[#This Row],[TE_COEFFICIENT_CALC]],0)=0,PROPERTIES[[#This Row],[TE_COEFFICIENT_MANUAL]],PROPERTIES[[#This Row],[TE_COEFFICIENT_CALC]]),3)</f>
        <v>0.123</v>
      </c>
      <c r="W469" s="10" cm="1">
        <f t="array" ref="W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9" s="32">
        <f>PROPERTIES[[#This Row],[HEAD_CAPACITY]]</f>
        <v>137</v>
      </c>
      <c r="Y469" s="8">
        <v>8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8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9" t="b">
        <v>0</v>
      </c>
      <c r="AY469"/>
      <c r="AZ469"/>
      <c r="BA469"/>
    </row>
    <row r="470" spans="1:53">
      <c r="A470" s="2" t="s">
        <v>490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t="s">
        <v>1863</v>
      </c>
      <c r="F470" t="str">
        <f>_xlfn.XLOOKUP(PROPERTIES[[#This Row],[COUNTRY]],COUNTRIES[COUNTRY_DESCRIPTION],COUNTRIES[COUNTRY_LABEL],"")</f>
        <v>NO</v>
      </c>
      <c r="G470" t="str" cm="1">
        <f t="array" ref="G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0" t="s">
        <v>17</v>
      </c>
      <c r="I470">
        <f>76/2</f>
        <v>38</v>
      </c>
      <c r="J470">
        <v>8</v>
      </c>
      <c r="K470">
        <v>8</v>
      </c>
      <c r="L470" t="str" cm="1">
        <f t="array" ref="L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0">
        <f>_xlfn.XLOOKUP("LOADINGSPEEDDEF_"&amp;PROPERTIES[[#This Row],[LOADINGSPEED]],LOADINGSPEEDDEF[TYPE],LOADINGSPEEDDEF[SPEED])</f>
        <v>40</v>
      </c>
      <c r="N470" t="str" cm="1">
        <f t="array" ref="N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0">
        <f>IF(ISNUMBER(SEARCH("passenger",PROPERTIES[[#This Row],[CARGODEF]])),1,0)</f>
        <v>1</v>
      </c>
      <c r="P470" s="29">
        <f>77/2</f>
        <v>38.5</v>
      </c>
      <c r="Q470">
        <v>810</v>
      </c>
      <c r="R470">
        <v>140</v>
      </c>
      <c r="S470" s="26">
        <f>100/2</f>
        <v>50</v>
      </c>
      <c r="T470" s="25">
        <f>IFERROR(PROPERTIES[[#This Row],[TE_STARTING_KN]]/(PROPERTIES[[#This Row],[WEIGHT]]*9.81),0)</f>
        <v>0.13238545348637093</v>
      </c>
      <c r="U470" s="25">
        <v>0.21</v>
      </c>
      <c r="V470" s="22">
        <f>ROUND(IF(IFERROR(PROPERTIES[[#This Row],[TE_COEFFICIENT_CALC]],0)=0,PROPERTIES[[#This Row],[TE_COEFFICIENT_MANUAL]],PROPERTIES[[#This Row],[TE_COEFFICIENT_CALC]]),3)</f>
        <v>0.13200000000000001</v>
      </c>
      <c r="W470" s="10" cm="1">
        <f t="array" ref="W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0" s="32">
        <f>76/2</f>
        <v>38</v>
      </c>
      <c r="Y470" s="8">
        <v>8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8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9" t="b">
        <v>0</v>
      </c>
      <c r="AY470"/>
      <c r="AZ470"/>
      <c r="BA470"/>
    </row>
    <row r="471" spans="1:53">
      <c r="A471" s="2" t="s">
        <v>491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t="s">
        <v>1710</v>
      </c>
      <c r="F471" t="str">
        <f>_xlfn.XLOOKUP(PROPERTIES[[#This Row],[COUNTRY]],COUNTRIES[COUNTRY_DESCRIPTION],COUNTRIES[COUNTRY_LABEL],"")</f>
        <v>AU</v>
      </c>
      <c r="G471" t="str" cm="1">
        <f t="array" ref="G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1" t="s">
        <v>17</v>
      </c>
      <c r="I471">
        <v>68</v>
      </c>
      <c r="J471">
        <v>8</v>
      </c>
      <c r="K471">
        <v>8</v>
      </c>
      <c r="L471" t="str" cm="1">
        <f t="array" ref="L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1">
        <f>_xlfn.XLOOKUP("LOADINGSPEEDDEF_"&amp;PROPERTIES[[#This Row],[LOADINGSPEED]],LOADINGSPEEDDEF[TYPE],LOADINGSPEEDDEF[SPEED])</f>
        <v>16</v>
      </c>
      <c r="N471" t="str" cm="1">
        <f t="array" ref="N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1">
        <f>IF(ISNUMBER(SEARCH("passenger",PROPERTIES[[#This Row],[CARGODEF]])),1,0)</f>
        <v>1</v>
      </c>
      <c r="P471" s="29">
        <v>33</v>
      </c>
      <c r="Q471">
        <f>520*2</f>
        <v>1040</v>
      </c>
      <c r="R471">
        <v>200</v>
      </c>
      <c r="S471" s="26">
        <f>160/2</f>
        <v>80</v>
      </c>
      <c r="T471" s="25">
        <f>IFERROR(PROPERTIES[[#This Row],[TE_STARTING_KN]]/(PROPERTIES[[#This Row],[WEIGHT]]*9.81),0)</f>
        <v>0.24711951317455902</v>
      </c>
      <c r="U471" s="25">
        <v>0.33</v>
      </c>
      <c r="V471" s="22">
        <f>ROUND(IF(IFERROR(PROPERTIES[[#This Row],[TE_COEFFICIENT_CALC]],0)=0,PROPERTIES[[#This Row],[TE_COEFFICIENT_MANUAL]],PROPERTIES[[#This Row],[TE_COEFFICIENT_CALC]]),3)</f>
        <v>0.247</v>
      </c>
      <c r="W471" s="10" cm="1">
        <f t="array" ref="W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1" s="32">
        <v>68</v>
      </c>
      <c r="Y471" s="8">
        <v>8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8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9" t="b">
        <v>0</v>
      </c>
      <c r="AY471"/>
      <c r="AZ471"/>
      <c r="BA471"/>
    </row>
    <row r="472" spans="1:53">
      <c r="A472" s="2" t="s">
        <v>492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t="s">
        <v>1710</v>
      </c>
      <c r="F472" t="str">
        <f>_xlfn.XLOOKUP(PROPERTIES[[#This Row],[COUNTRY]],COUNTRIES[COUNTRY_DESCRIPTION],COUNTRIES[COUNTRY_LABEL],"")</f>
        <v>AU</v>
      </c>
      <c r="G472" t="str" cm="1">
        <f t="array" ref="G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2" t="s">
        <v>17</v>
      </c>
      <c r="I472">
        <v>70</v>
      </c>
      <c r="J472">
        <v>8</v>
      </c>
      <c r="K472">
        <v>8</v>
      </c>
      <c r="L472" t="str" cm="1">
        <f t="array" ref="L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2">
        <f>_xlfn.XLOOKUP("LOADINGSPEEDDEF_"&amp;PROPERTIES[[#This Row],[LOADINGSPEED]],LOADINGSPEEDDEF[TYPE],LOADINGSPEEDDEF[SPEED])</f>
        <v>40</v>
      </c>
      <c r="N472" t="str" cm="1">
        <f t="array" ref="N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2">
        <f>IF(ISNUMBER(SEARCH("passenger",PROPERTIES[[#This Row],[CARGODEF]])),1,0)</f>
        <v>1</v>
      </c>
      <c r="P472" s="29">
        <v>30</v>
      </c>
      <c r="Q472">
        <v>750</v>
      </c>
      <c r="R472">
        <v>160</v>
      </c>
      <c r="S472" s="26">
        <f>140/2</f>
        <v>70</v>
      </c>
      <c r="T472" s="25">
        <f>IFERROR(PROPERTIES[[#This Row],[TE_STARTING_KN]]/(PROPERTIES[[#This Row],[WEIGHT]]*9.81),0)</f>
        <v>0.23785253143051308</v>
      </c>
      <c r="U472" s="25">
        <v>0.33</v>
      </c>
      <c r="V472" s="22">
        <f>ROUND(IF(IFERROR(PROPERTIES[[#This Row],[TE_COEFFICIENT_CALC]],0)=0,PROPERTIES[[#This Row],[TE_COEFFICIENT_MANUAL]],PROPERTIES[[#This Row],[TE_COEFFICIENT_CALC]]),3)</f>
        <v>0.23799999999999999</v>
      </c>
      <c r="W472" s="10" cm="1">
        <f t="array" ref="W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2" s="32">
        <v>70</v>
      </c>
      <c r="Y472" s="8">
        <v>8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8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9" t="b">
        <v>0</v>
      </c>
      <c r="AY472"/>
      <c r="AZ472"/>
      <c r="BA472"/>
    </row>
    <row r="473" spans="1:53">
      <c r="A473" s="2" t="s">
        <v>493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t="s">
        <v>1887</v>
      </c>
      <c r="F473" t="str">
        <f>_xlfn.XLOOKUP(PROPERTIES[[#This Row],[COUNTRY]],COUNTRIES[COUNTRY_DESCRIPTION],COUNTRIES[COUNTRY_LABEL],"")</f>
        <v>RU</v>
      </c>
      <c r="G473" t="str" cm="1">
        <f t="array" ref="G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3" t="s">
        <v>17</v>
      </c>
      <c r="I473">
        <v>68</v>
      </c>
      <c r="J473">
        <v>8</v>
      </c>
      <c r="K473">
        <v>8</v>
      </c>
      <c r="L473" t="str" cm="1">
        <f t="array" ref="L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3">
        <f>_xlfn.XLOOKUP("LOADINGSPEEDDEF_"&amp;PROPERTIES[[#This Row],[LOADINGSPEED]],LOADINGSPEEDDEF[TYPE],LOADINGSPEEDDEF[SPEED])</f>
        <v>40</v>
      </c>
      <c r="N473" t="str" cm="1">
        <f t="array" ref="N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3">
        <f>IF(ISNUMBER(SEARCH("passenger",PROPERTIES[[#This Row],[CARGODEF]])),1,0)</f>
        <v>1</v>
      </c>
      <c r="P473" s="29">
        <v>44</v>
      </c>
      <c r="Q473">
        <v>840</v>
      </c>
      <c r="R473">
        <v>100</v>
      </c>
      <c r="S473" s="26">
        <f>105/2</f>
        <v>52.5</v>
      </c>
      <c r="T473" s="25">
        <f>IFERROR(PROPERTIES[[#This Row],[TE_STARTING_KN]]/(PROPERTIES[[#This Row],[WEIGHT]]*9.81),0)</f>
        <v>0.12162913539060327</v>
      </c>
      <c r="U473" s="25">
        <v>0.28000000000000003</v>
      </c>
      <c r="V473" s="22">
        <f>ROUND(IF(IFERROR(PROPERTIES[[#This Row],[TE_COEFFICIENT_CALC]],0)=0,PROPERTIES[[#This Row],[TE_COEFFICIENT_MANUAL]],PROPERTIES[[#This Row],[TE_COEFFICIENT_CALC]]),3)</f>
        <v>0.122</v>
      </c>
      <c r="W473" s="10" cm="1">
        <f t="array" ref="W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3" s="32">
        <v>86</v>
      </c>
      <c r="Y473" s="8">
        <v>8</v>
      </c>
      <c r="Z473" t="s">
        <v>3514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8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9" t="b">
        <v>0</v>
      </c>
      <c r="AY473"/>
      <c r="AZ473"/>
      <c r="BA473"/>
    </row>
    <row r="474" spans="1:53">
      <c r="A474" s="2" t="s">
        <v>494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t="s">
        <v>1756</v>
      </c>
      <c r="F474" t="str">
        <f>_xlfn.XLOOKUP(PROPERTIES[[#This Row],[COUNTRY]],COUNTRIES[COUNTRY_DESCRIPTION],COUNTRIES[COUNTRY_LABEL],"")</f>
        <v>DK</v>
      </c>
      <c r="G474" t="str" cm="1">
        <f t="array" ref="G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4" t="s">
        <v>17</v>
      </c>
      <c r="I474">
        <v>52</v>
      </c>
      <c r="J474">
        <v>8</v>
      </c>
      <c r="K474">
        <v>8</v>
      </c>
      <c r="L474" t="str" cm="1">
        <f t="array" ref="L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4">
        <f>_xlfn.XLOOKUP("LOADINGSPEEDDEF_"&amp;PROPERTIES[[#This Row],[LOADINGSPEED]],LOADINGSPEEDDEF[TYPE],LOADINGSPEEDDEF[SPEED])</f>
        <v>16</v>
      </c>
      <c r="N474" t="str" cm="1">
        <f t="array" ref="N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4">
        <f>IF(ISNUMBER(SEARCH("passenger",PROPERTIES[[#This Row],[CARGODEF]])),1,0)</f>
        <v>1</v>
      </c>
      <c r="P474" s="29">
        <v>36</v>
      </c>
      <c r="Q474">
        <v>750</v>
      </c>
      <c r="R474">
        <v>180</v>
      </c>
      <c r="S474" s="26">
        <f>100/2</f>
        <v>50</v>
      </c>
      <c r="T474" s="25">
        <f>IFERROR(PROPERTIES[[#This Row],[TE_STARTING_KN]]/(PROPERTIES[[#This Row],[WEIGHT]]*9.81),0)</f>
        <v>0.14157888775625777</v>
      </c>
      <c r="U474" s="25">
        <v>0.62</v>
      </c>
      <c r="V474" s="22">
        <f>ROUND(IF(IFERROR(PROPERTIES[[#This Row],[TE_COEFFICIENT_CALC]],0)=0,PROPERTIES[[#This Row],[TE_COEFFICIENT_MANUAL]],PROPERTIES[[#This Row],[TE_COEFFICIENT_CALC]]),3)</f>
        <v>0.14199999999999999</v>
      </c>
      <c r="W474" s="10" cm="1">
        <f t="array" ref="W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4" s="32">
        <v>52</v>
      </c>
      <c r="Y474" s="8">
        <v>8</v>
      </c>
      <c r="Z474" t="s">
        <v>873</v>
      </c>
      <c r="AA474" t="s">
        <v>872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8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9" t="b">
        <v>0</v>
      </c>
      <c r="AY474"/>
      <c r="AZ474"/>
      <c r="BA474"/>
    </row>
    <row r="475" spans="1:53">
      <c r="A475" s="2" t="s">
        <v>495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t="s">
        <v>1794</v>
      </c>
      <c r="F475" t="str">
        <f>_xlfn.XLOOKUP(PROPERTIES[[#This Row],[COUNTRY]],COUNTRIES[COUNTRY_DESCRIPTION],COUNTRIES[COUNTRY_LABEL],"")</f>
        <v>HR</v>
      </c>
      <c r="G475" t="str" cm="1">
        <f t="array" ref="G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5" t="s">
        <v>17</v>
      </c>
      <c r="I475">
        <f>INT(410/3)</f>
        <v>136</v>
      </c>
      <c r="J475">
        <v>8</v>
      </c>
      <c r="K475">
        <v>8</v>
      </c>
      <c r="L475" t="str" cm="1">
        <f t="array" ref="L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5">
        <f>_xlfn.XLOOKUP("LOADINGSPEEDDEF_"&amp;PROPERTIES[[#This Row],[LOADINGSPEED]],LOADINGSPEEDDEF[TYPE],LOADINGSPEEDDEF[SPEED])</f>
        <v>40</v>
      </c>
      <c r="N475" t="str" cm="1">
        <f t="array" ref="N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5">
        <f>IF(ISNUMBER(SEARCH("passenger",PROPERTIES[[#This Row],[CARGODEF]])),1,0)</f>
        <v>1</v>
      </c>
      <c r="P475" s="29">
        <v>45</v>
      </c>
      <c r="Q475">
        <v>520</v>
      </c>
      <c r="R475">
        <v>160</v>
      </c>
      <c r="S475" s="26">
        <f>125/2</f>
        <v>62.5</v>
      </c>
      <c r="T475" s="25">
        <f>IFERROR(PROPERTIES[[#This Row],[TE_STARTING_KN]]/(PROPERTIES[[#This Row],[WEIGHT]]*9.81),0)</f>
        <v>0.14157888775625777</v>
      </c>
      <c r="U475" s="25">
        <v>0.53</v>
      </c>
      <c r="V475" s="22">
        <f>ROUND(IF(IFERROR(PROPERTIES[[#This Row],[TE_COEFFICIENT_CALC]],0)=0,PROPERTIES[[#This Row],[TE_COEFFICIENT_MANUAL]],PROPERTIES[[#This Row],[TE_COEFFICIENT_CALC]]),3)</f>
        <v>0.14199999999999999</v>
      </c>
      <c r="W475" s="10" cm="1">
        <f t="array" ref="W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5" s="32">
        <v>66</v>
      </c>
      <c r="Y475" s="8">
        <v>8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8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9" t="b">
        <v>0</v>
      </c>
      <c r="AY475"/>
      <c r="AZ475"/>
      <c r="BA475"/>
    </row>
    <row r="476" spans="1:53">
      <c r="A476" s="2" t="s">
        <v>496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t="s">
        <v>2199</v>
      </c>
      <c r="F476" t="str">
        <f>_xlfn.XLOOKUP(PROPERTIES[[#This Row],[COUNTRY]],COUNTRIES[COUNTRY_DESCRIPTION],COUNTRIES[COUNTRY_LABEL],"")</f>
        <v>TR</v>
      </c>
      <c r="G476" t="str" cm="1">
        <f t="array" ref="G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6" t="s">
        <v>17</v>
      </c>
      <c r="I476">
        <f>INT(199/3)</f>
        <v>66</v>
      </c>
      <c r="J476">
        <v>8</v>
      </c>
      <c r="K476">
        <v>8</v>
      </c>
      <c r="L476" t="str" cm="1">
        <f t="array" ref="L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6">
        <f>_xlfn.XLOOKUP("LOADINGSPEEDDEF_"&amp;PROPERTIES[[#This Row],[LOADINGSPEED]],LOADINGSPEEDDEF[TYPE],LOADINGSPEEDDEF[SPEED])</f>
        <v>40</v>
      </c>
      <c r="N476" cm="1">
        <f t="array" ref="N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6">
        <f>IF(ISNUMBER(SEARCH("passenger",PROPERTIES[[#This Row],[CARGODEF]])),1,0)</f>
        <v>1</v>
      </c>
      <c r="P476" s="29">
        <v>35</v>
      </c>
      <c r="Q476">
        <v>800</v>
      </c>
      <c r="R476">
        <v>90</v>
      </c>
      <c r="S476" s="26">
        <f>115/2</f>
        <v>57.5</v>
      </c>
      <c r="T476" s="25">
        <f>IFERROR(PROPERTIES[[#This Row],[TE_STARTING_KN]]/(PROPERTIES[[#This Row],[WEIGHT]]*9.81),0)</f>
        <v>0.1674675986602592</v>
      </c>
      <c r="U476" s="25">
        <v>0.23</v>
      </c>
      <c r="V476" s="22">
        <f>ROUND(IF(IFERROR(PROPERTIES[[#This Row],[TE_COEFFICIENT_CALC]],0)=0,PROPERTIES[[#This Row],[TE_COEFFICIENT_MANUAL]],PROPERTIES[[#This Row],[TE_COEFFICIENT_CALC]]),3)</f>
        <v>0.16700000000000001</v>
      </c>
      <c r="W476" s="10" cm="1">
        <f t="array" ref="W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76" s="32">
        <v>66</v>
      </c>
      <c r="Y476" s="8">
        <v>8</v>
      </c>
      <c r="Z476" t="s">
        <v>3514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8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9" t="b">
        <v>0</v>
      </c>
      <c r="AY476"/>
      <c r="AZ476"/>
      <c r="BA476"/>
    </row>
    <row r="477" spans="1:53">
      <c r="A477" s="2" t="s">
        <v>497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t="s">
        <v>1810</v>
      </c>
      <c r="F477" t="str">
        <f>_xlfn.XLOOKUP(PROPERTIES[[#This Row],[COUNTRY]],COUNTRIES[COUNTRY_DESCRIPTION],COUNTRIES[COUNTRY_LABEL],"")</f>
        <v>JP</v>
      </c>
      <c r="G477" t="str" cm="1">
        <f t="array" ref="G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7" t="s">
        <v>17</v>
      </c>
      <c r="I477">
        <v>52</v>
      </c>
      <c r="J477">
        <v>8</v>
      </c>
      <c r="K477">
        <v>8</v>
      </c>
      <c r="L477" t="str" cm="1">
        <f t="array" ref="L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7">
        <f>_xlfn.XLOOKUP("LOADINGSPEEDDEF_"&amp;PROPERTIES[[#This Row],[LOADINGSPEED]],LOADINGSPEEDDEF[TYPE],LOADINGSPEEDDEF[SPEED])</f>
        <v>40</v>
      </c>
      <c r="N477" cm="1">
        <f t="array" ref="N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7">
        <f>IF(ISNUMBER(SEARCH("passenger",PROPERTIES[[#This Row],[CARGODEF]])),1,0)</f>
        <v>1</v>
      </c>
      <c r="P477" s="29">
        <v>44</v>
      </c>
      <c r="Q477">
        <v>500</v>
      </c>
      <c r="R477">
        <v>120</v>
      </c>
      <c r="S477" s="26">
        <f>108/2</f>
        <v>54</v>
      </c>
      <c r="T477" s="25">
        <f>IFERROR(PROPERTIES[[#This Row],[TE_STARTING_KN]]/(PROPERTIES[[#This Row],[WEIGHT]]*9.81),0)</f>
        <v>0.12510425354462051</v>
      </c>
      <c r="U477" s="25">
        <v>0.34</v>
      </c>
      <c r="V477" s="22">
        <f>ROUND(IF(IFERROR(PROPERTIES[[#This Row],[TE_COEFFICIENT_CALC]],0)=0,PROPERTIES[[#This Row],[TE_COEFFICIENT_MANUAL]],PROPERTIES[[#This Row],[TE_COEFFICIENT_CALC]]),3)</f>
        <v>0.125</v>
      </c>
      <c r="W477" s="10" cm="1">
        <f t="array" ref="W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477" s="32">
        <v>76</v>
      </c>
      <c r="Y477" s="8">
        <v>8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8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9" t="b">
        <v>0</v>
      </c>
      <c r="AY477"/>
      <c r="AZ477"/>
      <c r="BA477"/>
    </row>
    <row r="478" spans="1:53">
      <c r="A478" s="2" t="s">
        <v>498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t="s">
        <v>1753</v>
      </c>
      <c r="F478" t="str">
        <f>_xlfn.XLOOKUP(PROPERTIES[[#This Row],[COUNTRY]],COUNTRIES[COUNTRY_DESCRIPTION],COUNTRIES[COUNTRY_LABEL],"")</f>
        <v>CZ</v>
      </c>
      <c r="G478" t="str" cm="1">
        <f t="array" ref="G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8" t="s">
        <v>17</v>
      </c>
      <c r="I478" s="8">
        <f>INT((135+151)/3)</f>
        <v>95</v>
      </c>
      <c r="J478">
        <v>6</v>
      </c>
      <c r="K478">
        <v>6</v>
      </c>
      <c r="L478" t="str" cm="1">
        <f t="array" ref="L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8">
        <f>_xlfn.XLOOKUP("LOADINGSPEEDDEF_"&amp;PROPERTIES[[#This Row],[LOADINGSPEED]],LOADINGSPEEDDEF[TYPE],LOADINGSPEEDDEF[SPEED])</f>
        <v>40</v>
      </c>
      <c r="N478" cm="1">
        <f t="array" ref="N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8">
        <f>IF(ISNUMBER(SEARCH("passenger",PROPERTIES[[#This Row],[CARGODEF]])),1,0)</f>
        <v>1</v>
      </c>
      <c r="P478" s="29">
        <v>22</v>
      </c>
      <c r="Q478">
        <v>325</v>
      </c>
      <c r="R478">
        <v>80</v>
      </c>
      <c r="S478" s="26">
        <f>54/2</f>
        <v>27</v>
      </c>
      <c r="T478" s="25">
        <f>IFERROR(PROPERTIES[[#This Row],[TE_STARTING_KN]]/(PROPERTIES[[#This Row],[WEIGHT]]*9.81),0)</f>
        <v>0.12510425354462051</v>
      </c>
      <c r="U478" s="25">
        <v>0.25</v>
      </c>
      <c r="V478" s="22">
        <f>ROUND(IF(IFERROR(PROPERTIES[[#This Row],[TE_COEFFICIENT_CALC]],0)=0,PROPERTIES[[#This Row],[TE_COEFFICIENT_MANUAL]],PROPERTIES[[#This Row],[TE_COEFFICIENT_CALC]]),3)</f>
        <v>0.125</v>
      </c>
      <c r="W478" s="10" cm="1">
        <f t="array" ref="W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8" s="32">
        <f>INT((135+151)/3)</f>
        <v>95</v>
      </c>
      <c r="Y478" s="8">
        <v>6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8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9" t="b">
        <v>0</v>
      </c>
      <c r="AY478"/>
      <c r="AZ478"/>
      <c r="BA478"/>
    </row>
    <row r="479" spans="1:53">
      <c r="A479" s="2" t="s">
        <v>499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t="s">
        <v>1773</v>
      </c>
      <c r="F479" t="str">
        <f>_xlfn.XLOOKUP(PROPERTIES[[#This Row],[COUNTRY]],COUNTRIES[COUNTRY_DESCRIPTION],COUNTRIES[COUNTRY_LABEL],"")</f>
        <v>GB</v>
      </c>
      <c r="G479" t="str" cm="1">
        <f t="array" ref="G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9" t="s">
        <v>17</v>
      </c>
      <c r="I479">
        <v>80</v>
      </c>
      <c r="J479">
        <v>7</v>
      </c>
      <c r="K479">
        <v>7</v>
      </c>
      <c r="L479" t="str" cm="1">
        <f t="array" ref="L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9">
        <f>_xlfn.XLOOKUP("LOADINGSPEEDDEF_"&amp;PROPERTIES[[#This Row],[LOADINGSPEED]],LOADINGSPEEDDEF[TYPE],LOADINGSPEEDDEF[SPEED])</f>
        <v>40</v>
      </c>
      <c r="N479" cm="1">
        <f t="array" ref="N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9">
        <f>IF(ISNUMBER(SEARCH("passenger",PROPERTIES[[#This Row],[CARGODEF]])),1,0)</f>
        <v>1</v>
      </c>
      <c r="P479" s="29">
        <v>36</v>
      </c>
      <c r="Q479">
        <v>389</v>
      </c>
      <c r="R479">
        <v>121</v>
      </c>
      <c r="S479" s="26">
        <f>65/2</f>
        <v>32.5</v>
      </c>
      <c r="T479" s="25">
        <f>IFERROR(PROPERTIES[[#This Row],[TE_STARTING_KN]]/(PROPERTIES[[#This Row],[WEIGHT]]*9.81),0)</f>
        <v>9.2026277041567559E-2</v>
      </c>
      <c r="U479" s="25">
        <v>0.26</v>
      </c>
      <c r="V479" s="22">
        <f>ROUND(IF(IFERROR(PROPERTIES[[#This Row],[TE_COEFFICIENT_CALC]],0)=0,PROPERTIES[[#This Row],[TE_COEFFICIENT_MANUAL]],PROPERTIES[[#This Row],[TE_COEFFICIENT_CALC]]),3)</f>
        <v>9.1999999999999998E-2</v>
      </c>
      <c r="W479" s="10" cm="1">
        <f t="array" ref="W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9" s="32">
        <v>80</v>
      </c>
      <c r="Y479" s="8">
        <v>7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8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9" t="b">
        <v>0</v>
      </c>
      <c r="AY479"/>
      <c r="AZ479"/>
      <c r="BA479"/>
    </row>
    <row r="480" spans="1:53">
      <c r="A480" s="2" t="s">
        <v>500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t="s">
        <v>1804</v>
      </c>
      <c r="F480" t="str">
        <f>_xlfn.XLOOKUP(PROPERTIES[[#This Row],[COUNTRY]],COUNTRIES[COUNTRY_DESCRIPTION],COUNTRIES[COUNTRY_LABEL],"")</f>
        <v>IR</v>
      </c>
      <c r="G480" t="str" cm="1">
        <f t="array" ref="G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0" t="s">
        <v>17</v>
      </c>
      <c r="I480">
        <v>47</v>
      </c>
      <c r="J480">
        <v>6</v>
      </c>
      <c r="K480">
        <v>6</v>
      </c>
      <c r="L480" t="str" cm="1">
        <f t="array" ref="L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0">
        <f>_xlfn.XLOOKUP("LOADINGSPEEDDEF_"&amp;PROPERTIES[[#This Row],[LOADINGSPEED]],LOADINGSPEEDDEF[TYPE],LOADINGSPEEDDEF[SPEED])</f>
        <v>40</v>
      </c>
      <c r="N480" cm="1">
        <f t="array" ref="N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0">
        <f>IF(ISNUMBER(SEARCH("passenger",PROPERTIES[[#This Row],[CARGODEF]])),1,0)</f>
        <v>1</v>
      </c>
      <c r="P480" s="29">
        <v>26</v>
      </c>
      <c r="Q480">
        <v>200</v>
      </c>
      <c r="R480">
        <v>121</v>
      </c>
      <c r="S480" s="26">
        <f>42/2</f>
        <v>21</v>
      </c>
      <c r="T480" s="25">
        <f>IFERROR(PROPERTIES[[#This Row],[TE_STARTING_KN]]/(PROPERTIES[[#This Row],[WEIGHT]]*9.81),0)</f>
        <v>8.2333568572100682E-2</v>
      </c>
      <c r="U480" s="25">
        <v>0.21</v>
      </c>
      <c r="V480" s="22">
        <f>ROUND(IF(IFERROR(PROPERTIES[[#This Row],[TE_COEFFICIENT_CALC]],0)=0,PROPERTIES[[#This Row],[TE_COEFFICIENT_MANUAL]],PROPERTIES[[#This Row],[TE_COEFFICIENT_CALC]]),3)</f>
        <v>8.2000000000000003E-2</v>
      </c>
      <c r="W480" s="10" cm="1">
        <f t="array" ref="W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0" s="32">
        <v>47</v>
      </c>
      <c r="Y480" s="8">
        <v>6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8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9" t="b">
        <v>0</v>
      </c>
      <c r="AY480"/>
      <c r="AZ480"/>
      <c r="BA480"/>
    </row>
    <row r="481" spans="1:53">
      <c r="A481" s="2" t="s">
        <v>501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t="s">
        <v>1799</v>
      </c>
      <c r="F481" t="str">
        <f>_xlfn.XLOOKUP(PROPERTIES[[#This Row],[COUNTRY]],COUNTRIES[COUNTRY_DESCRIPTION],COUNTRIES[COUNTRY_LABEL],"")</f>
        <v>IL</v>
      </c>
      <c r="G481" t="str" cm="1">
        <f t="array" ref="G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1" t="s">
        <v>17</v>
      </c>
      <c r="I481">
        <v>48</v>
      </c>
      <c r="J481">
        <v>8</v>
      </c>
      <c r="K481">
        <v>8</v>
      </c>
      <c r="L481" t="str" cm="1">
        <f t="array" ref="L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81">
        <f>_xlfn.XLOOKUP("LOADINGSPEEDDEF_"&amp;PROPERTIES[[#This Row],[LOADINGSPEED]],LOADINGSPEEDDEF[TYPE],LOADINGSPEEDDEF[SPEED])</f>
        <v>16</v>
      </c>
      <c r="N481" t="str" cm="1">
        <f t="array" ref="N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1">
        <f>IF(ISNUMBER(SEARCH("passenger",PROPERTIES[[#This Row],[CARGODEF]])),1,0)</f>
        <v>1</v>
      </c>
      <c r="P481" s="29">
        <f>INT(97/2)</f>
        <v>48</v>
      </c>
      <c r="Q481">
        <f>1600*2</f>
        <v>3200</v>
      </c>
      <c r="R481">
        <v>180</v>
      </c>
      <c r="S481" s="26">
        <f>115/2</f>
        <v>57.5</v>
      </c>
      <c r="T481" s="25">
        <f>IFERROR(PROPERTIES[[#This Row],[TE_STARTING_KN]]/(PROPERTIES[[#This Row],[WEIGHT]]*9.81),0)</f>
        <v>0.12211179068977235</v>
      </c>
      <c r="U481" s="25">
        <v>0.25</v>
      </c>
      <c r="V481" s="22">
        <f>ROUND(IF(IFERROR(PROPERTIES[[#This Row],[TE_COEFFICIENT_CALC]],0)=0,PROPERTIES[[#This Row],[TE_COEFFICIENT_MANUAL]],PROPERTIES[[#This Row],[TE_COEFFICIENT_CALC]]),3)</f>
        <v>0.122</v>
      </c>
      <c r="W481" s="10" cm="1">
        <f t="array" ref="W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1" s="32">
        <v>48</v>
      </c>
      <c r="Y481" s="8">
        <v>8</v>
      </c>
      <c r="Z481" t="s">
        <v>872</v>
      </c>
      <c r="AA481" t="s">
        <v>878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8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9" t="b">
        <v>0</v>
      </c>
      <c r="AY481"/>
      <c r="AZ481"/>
      <c r="BA481"/>
    </row>
    <row r="482" spans="1:53">
      <c r="A482" s="2" t="s">
        <v>502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t="s">
        <v>1710</v>
      </c>
      <c r="F482" t="str">
        <f>_xlfn.XLOOKUP(PROPERTIES[[#This Row],[COUNTRY]],COUNTRIES[COUNTRY_DESCRIPTION],COUNTRIES[COUNTRY_LABEL],"")</f>
        <v>AU</v>
      </c>
      <c r="G482" t="str" cm="1">
        <f t="array" ref="G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2" t="s">
        <v>17</v>
      </c>
      <c r="I482">
        <v>46</v>
      </c>
      <c r="J482">
        <v>7</v>
      </c>
      <c r="K482">
        <v>7</v>
      </c>
      <c r="L482" t="str" cm="1">
        <f t="array" ref="L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2">
        <f>_xlfn.XLOOKUP("LOADINGSPEEDDEF_"&amp;PROPERTIES[[#This Row],[LOADINGSPEED]],LOADINGSPEEDDEF[TYPE],LOADINGSPEEDDEF[SPEED])</f>
        <v>40</v>
      </c>
      <c r="N482" t="str" cm="1">
        <f t="array" ref="N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2">
        <f>IF(ISNUMBER(SEARCH("passenger",PROPERTIES[[#This Row],[CARGODEF]])),1,0)</f>
        <v>1</v>
      </c>
      <c r="P482" s="29">
        <v>48</v>
      </c>
      <c r="Q482">
        <v>2092</v>
      </c>
      <c r="R482">
        <v>90</v>
      </c>
      <c r="S482" s="26">
        <f>110/2</f>
        <v>55</v>
      </c>
      <c r="T482" s="25">
        <f>IFERROR(PROPERTIES[[#This Row],[TE_STARTING_KN]]/(PROPERTIES[[#This Row],[WEIGHT]]*9.81),0)</f>
        <v>0.11680258239891267</v>
      </c>
      <c r="U482" s="25">
        <v>0.22</v>
      </c>
      <c r="V482" s="22">
        <f>ROUND(IF(IFERROR(PROPERTIES[[#This Row],[TE_COEFFICIENT_CALC]],0)=0,PROPERTIES[[#This Row],[TE_COEFFICIENT_MANUAL]],PROPERTIES[[#This Row],[TE_COEFFICIENT_CALC]]),3)</f>
        <v>0.11700000000000001</v>
      </c>
      <c r="W482" s="10" cm="1">
        <f t="array" ref="W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2" s="32">
        <v>53</v>
      </c>
      <c r="Y482" s="8">
        <v>7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8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9" t="b">
        <v>0</v>
      </c>
      <c r="AY482"/>
      <c r="AZ482"/>
      <c r="BA482"/>
    </row>
    <row r="483" spans="1:53">
      <c r="A483" s="2" t="s">
        <v>503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t="s">
        <v>1710</v>
      </c>
      <c r="F483" t="str">
        <f>_xlfn.XLOOKUP(PROPERTIES[[#This Row],[COUNTRY]],COUNTRIES[COUNTRY_DESCRIPTION],COUNTRIES[COUNTRY_LABEL],"")</f>
        <v>AU</v>
      </c>
      <c r="G483" t="str" cm="1">
        <f t="array" ref="G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3" t="s">
        <v>17</v>
      </c>
      <c r="I483">
        <v>38</v>
      </c>
      <c r="J483">
        <v>8</v>
      </c>
      <c r="K483">
        <v>8</v>
      </c>
      <c r="L483" t="str" cm="1">
        <f t="array" ref="L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3">
        <f>_xlfn.XLOOKUP("LOADINGSPEEDDEF_"&amp;PROPERTIES[[#This Row],[LOADINGSPEED]],LOADINGSPEEDDEF[TYPE],LOADINGSPEEDDEF[SPEED])</f>
        <v>40</v>
      </c>
      <c r="N483" t="str" cm="1">
        <f t="array" ref="N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3">
        <f>IF(ISNUMBER(SEARCH("passenger",PROPERTIES[[#This Row],[CARGODEF]])),1,0)</f>
        <v>1</v>
      </c>
      <c r="P483" s="29">
        <v>57</v>
      </c>
      <c r="Q483">
        <f>514*2</f>
        <v>1028</v>
      </c>
      <c r="R483">
        <v>145</v>
      </c>
      <c r="S483" s="26">
        <f>125/2</f>
        <v>62.5</v>
      </c>
      <c r="T483" s="25">
        <f>IFERROR(PROPERTIES[[#This Row],[TE_STARTING_KN]]/(PROPERTIES[[#This Row],[WEIGHT]]*9.81),0)</f>
        <v>0.11177280612336139</v>
      </c>
      <c r="U483" s="25">
        <v>0.13</v>
      </c>
      <c r="V483" s="22">
        <f>ROUND(IF(IFERROR(PROPERTIES[[#This Row],[TE_COEFFICIENT_CALC]],0)=0,PROPERTIES[[#This Row],[TE_COEFFICIENT_MANUAL]],PROPERTIES[[#This Row],[TE_COEFFICIENT_CALC]]),3)</f>
        <v>0.112</v>
      </c>
      <c r="W483" s="10" cm="1">
        <f t="array" ref="W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3" s="32">
        <v>66</v>
      </c>
      <c r="Y483" s="8">
        <v>8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8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9" t="b">
        <v>0</v>
      </c>
      <c r="AY483"/>
      <c r="AZ483"/>
      <c r="BA483"/>
    </row>
    <row r="484" spans="1:53">
      <c r="A484" s="2" t="s">
        <v>504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t="s">
        <v>1810</v>
      </c>
      <c r="F484" t="str">
        <f>_xlfn.XLOOKUP(PROPERTIES[[#This Row],[COUNTRY]],COUNTRIES[COUNTRY_DESCRIPTION],COUNTRIES[COUNTRY_LABEL],"")</f>
        <v>JP</v>
      </c>
      <c r="G484" t="str" cm="1">
        <f t="array" ref="G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4" t="s">
        <v>17</v>
      </c>
      <c r="I484">
        <v>56</v>
      </c>
      <c r="J484">
        <v>7</v>
      </c>
      <c r="K484">
        <v>7</v>
      </c>
      <c r="L484" t="str" cm="1">
        <f t="array" ref="L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4">
        <f>_xlfn.XLOOKUP("LOADINGSPEEDDEF_"&amp;PROPERTIES[[#This Row],[LOADINGSPEED]],LOADINGSPEEDDEF[TYPE],LOADINGSPEEDDEF[SPEED])</f>
        <v>40</v>
      </c>
      <c r="N484" t="str" cm="1">
        <f t="array" ref="N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4">
        <f>IF(ISNUMBER(SEARCH("passenger",PROPERTIES[[#This Row],[CARGODEF]])),1,0)</f>
        <v>1</v>
      </c>
      <c r="P484" s="29">
        <v>49</v>
      </c>
      <c r="Q484">
        <v>900</v>
      </c>
      <c r="R484">
        <v>130</v>
      </c>
      <c r="S484" s="26">
        <f>110/2</f>
        <v>55</v>
      </c>
      <c r="T484" s="25">
        <f>IFERROR(PROPERTIES[[#This Row],[TE_STARTING_KN]]/(PROPERTIES[[#This Row],[WEIGHT]]*9.81),0)</f>
        <v>0.11441885622750629</v>
      </c>
      <c r="U484" s="25">
        <v>0.21</v>
      </c>
      <c r="V484" s="22">
        <f>ROUND(IF(IFERROR(PROPERTIES[[#This Row],[TE_COEFFICIENT_CALC]],0)=0,PROPERTIES[[#This Row],[TE_COEFFICIENT_MANUAL]],PROPERTIES[[#This Row],[TE_COEFFICIENT_CALC]]),3)</f>
        <v>0.114</v>
      </c>
      <c r="W484" s="10" cm="1">
        <f t="array" ref="W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4" s="32">
        <v>56</v>
      </c>
      <c r="Y484" s="8">
        <v>7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8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9" t="b">
        <v>0</v>
      </c>
      <c r="AY484"/>
      <c r="AZ484"/>
      <c r="BA484"/>
    </row>
    <row r="485" spans="1:53">
      <c r="A485" s="2" t="s">
        <v>505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t="s">
        <v>1826</v>
      </c>
      <c r="F485" t="str">
        <f>_xlfn.XLOOKUP(PROPERTIES[[#This Row],[COUNTRY]],COUNTRIES[COUNTRY_DESCRIPTION],COUNTRIES[COUNTRY_LABEL],"")</f>
        <v>LK</v>
      </c>
      <c r="G485" t="str" cm="1">
        <f t="array" ref="G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5" t="s">
        <v>17</v>
      </c>
      <c r="I485">
        <v>20</v>
      </c>
      <c r="J485">
        <v>8</v>
      </c>
      <c r="K485">
        <v>8</v>
      </c>
      <c r="L485" t="str" cm="1">
        <f t="array" ref="L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5">
        <f>_xlfn.XLOOKUP("LOADINGSPEEDDEF_"&amp;PROPERTIES[[#This Row],[LOADINGSPEED]],LOADINGSPEEDDEF[TYPE],LOADINGSPEEDDEF[SPEED])</f>
        <v>40</v>
      </c>
      <c r="N485" t="str" cm="1">
        <f t="array" ref="N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5">
        <f>IF(ISNUMBER(SEARCH("passenger",PROPERTIES[[#This Row],[CARGODEF]])),1,0)</f>
        <v>1</v>
      </c>
      <c r="P485" s="29">
        <v>20</v>
      </c>
      <c r="Q485">
        <v>1360</v>
      </c>
      <c r="R485">
        <v>110</v>
      </c>
      <c r="S485" s="26">
        <f>140/2</f>
        <v>70</v>
      </c>
      <c r="T485" s="25">
        <f>IFERROR(PROPERTIES[[#This Row],[TE_STARTING_KN]]/(PROPERTIES[[#This Row],[WEIGHT]]*9.81),0)</f>
        <v>0.3567787971457696</v>
      </c>
      <c r="U485" s="25">
        <v>0.57999999999999996</v>
      </c>
      <c r="V485" s="22">
        <f>ROUND(IF(IFERROR(PROPERTIES[[#This Row],[TE_COEFFICIENT_CALC]],0)=0,PROPERTIES[[#This Row],[TE_COEFFICIENT_MANUAL]],PROPERTIES[[#This Row],[TE_COEFFICIENT_CALC]]),3)</f>
        <v>0.35699999999999998</v>
      </c>
      <c r="W485" s="10" cm="1">
        <f t="array" ref="W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5" s="32">
        <f>INT(429/6)</f>
        <v>71</v>
      </c>
      <c r="Y485" s="8">
        <v>8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8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9" t="b">
        <v>0</v>
      </c>
      <c r="AY485"/>
      <c r="AZ485"/>
      <c r="BA485"/>
    </row>
    <row r="486" spans="1:53">
      <c r="A486" s="2" t="s">
        <v>506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t="s">
        <v>1898</v>
      </c>
      <c r="F486" t="str">
        <f>_xlfn.XLOOKUP(PROPERTIES[[#This Row],[COUNTRY]],COUNTRIES[COUNTRY_DESCRIPTION],COUNTRIES[COUNTRY_LABEL],"")</f>
        <v>SK</v>
      </c>
      <c r="G486" t="str" cm="1">
        <f t="array" ref="G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6" t="s">
        <v>17</v>
      </c>
      <c r="I486" s="8">
        <f>INT(195/2)</f>
        <v>97</v>
      </c>
      <c r="J486">
        <v>8</v>
      </c>
      <c r="K486">
        <v>8</v>
      </c>
      <c r="L486" t="str" cm="1">
        <f t="array" ref="L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6">
        <f>_xlfn.XLOOKUP("LOADINGSPEEDDEF_"&amp;PROPERTIES[[#This Row],[LOADINGSPEED]],LOADINGSPEEDDEF[TYPE],LOADINGSPEEDDEF[SPEED])</f>
        <v>40</v>
      </c>
      <c r="N486" t="str" cm="1">
        <f t="array" ref="N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6">
        <f>IF(ISNUMBER(SEARCH("passenger",PROPERTIES[[#This Row],[CARGODEF]])),1,0)</f>
        <v>1</v>
      </c>
      <c r="P486" s="29">
        <v>60</v>
      </c>
      <c r="Q486">
        <v>1580</v>
      </c>
      <c r="R486">
        <v>140</v>
      </c>
      <c r="S486" s="26">
        <f>125/2</f>
        <v>62.5</v>
      </c>
      <c r="T486" s="25">
        <f>IFERROR(PROPERTIES[[#This Row],[TE_STARTING_KN]]/(PROPERTIES[[#This Row],[WEIGHT]]*9.81),0)</f>
        <v>0.10618416581719334</v>
      </c>
      <c r="U486" s="25">
        <v>0.34</v>
      </c>
      <c r="V486" s="22">
        <f>ROUND(IF(IFERROR(PROPERTIES[[#This Row],[TE_COEFFICIENT_CALC]],0)=0,PROPERTIES[[#This Row],[TE_COEFFICIENT_MANUAL]],PROPERTIES[[#This Row],[TE_COEFFICIENT_CALC]]),3)</f>
        <v>0.106</v>
      </c>
      <c r="W486" s="10" cm="1">
        <f t="array" ref="W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6" s="32">
        <f>INT(195/2)</f>
        <v>97</v>
      </c>
      <c r="Y486" s="8">
        <v>7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8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9" t="b">
        <v>0</v>
      </c>
      <c r="AY486"/>
      <c r="AZ486"/>
      <c r="BA486"/>
    </row>
    <row r="487" spans="1:53">
      <c r="A487" s="2" t="s">
        <v>507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t="s">
        <v>1743</v>
      </c>
      <c r="F487" t="str">
        <f>_xlfn.XLOOKUP(PROPERTIES[[#This Row],[COUNTRY]],COUNTRIES[COUNTRY_DESCRIPTION],COUNTRIES[COUNTRY_LABEL],"")</f>
        <v>CL</v>
      </c>
      <c r="G487" t="str" cm="1">
        <f t="array" ref="G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7" t="s">
        <v>17</v>
      </c>
      <c r="I487">
        <f>144/2</f>
        <v>72</v>
      </c>
      <c r="J487">
        <v>8</v>
      </c>
      <c r="K487">
        <v>8</v>
      </c>
      <c r="L487" t="str" cm="1">
        <f t="array" ref="L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7">
        <f>_xlfn.XLOOKUP("LOADINGSPEEDDEF_"&amp;PROPERTIES[[#This Row],[LOADINGSPEED]],LOADINGSPEEDDEF[TYPE],LOADINGSPEEDDEF[SPEED])</f>
        <v>40</v>
      </c>
      <c r="N487" cm="1">
        <f t="array" ref="N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7">
        <f>IF(ISNUMBER(SEARCH("passenger",PROPERTIES[[#This Row],[CARGODEF]])),1,0)</f>
        <v>1</v>
      </c>
      <c r="P487" s="29">
        <v>68</v>
      </c>
      <c r="Q487">
        <f>460*2</f>
        <v>920</v>
      </c>
      <c r="R487">
        <v>120</v>
      </c>
      <c r="S487" s="26">
        <f>90/2</f>
        <v>45</v>
      </c>
      <c r="T487" s="25">
        <f>IFERROR(PROPERTIES[[#This Row],[TE_STARTING_KN]]/(PROPERTIES[[#This Row],[WEIGHT]]*9.81),0)</f>
        <v>6.745817593092282E-2</v>
      </c>
      <c r="U487" s="25">
        <v>0.13</v>
      </c>
      <c r="V487" s="22">
        <f>ROUND(IF(IFERROR(PROPERTIES[[#This Row],[TE_COEFFICIENT_CALC]],0)=0,PROPERTIES[[#This Row],[TE_COEFFICIENT_MANUAL]],PROPERTIES[[#This Row],[TE_COEFFICIENT_CALC]]),3)</f>
        <v>6.7000000000000004E-2</v>
      </c>
      <c r="W487" s="10" cm="1">
        <f t="array" ref="W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7" s="32">
        <f>144/2</f>
        <v>72</v>
      </c>
      <c r="Y487" s="8">
        <v>8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8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9" t="b">
        <v>0</v>
      </c>
      <c r="AY487"/>
      <c r="AZ487"/>
      <c r="BA487"/>
    </row>
    <row r="488" spans="1:53">
      <c r="A488" s="2" t="s">
        <v>508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t="s">
        <v>1744</v>
      </c>
      <c r="F488" t="str">
        <f>_xlfn.XLOOKUP(PROPERTIES[[#This Row],[COUNTRY]],COUNTRIES[COUNTRY_DESCRIPTION],COUNTRIES[COUNTRY_LABEL],"")</f>
        <v>CM</v>
      </c>
      <c r="G488" t="str" cm="1">
        <f t="array" ref="G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8" t="s">
        <v>17</v>
      </c>
      <c r="I488">
        <v>62</v>
      </c>
      <c r="J488">
        <v>8</v>
      </c>
      <c r="K488">
        <v>8</v>
      </c>
      <c r="L488" t="str" cm="1">
        <f t="array" ref="L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8">
        <f>_xlfn.XLOOKUP("LOADINGSPEEDDEF_"&amp;PROPERTIES[[#This Row],[LOADINGSPEED]],LOADINGSPEEDDEF[TYPE],LOADINGSPEEDDEF[SPEED])</f>
        <v>40</v>
      </c>
      <c r="N488" cm="1">
        <f t="array" ref="N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8">
        <f>IF(ISNUMBER(SEARCH("passenger",PROPERTIES[[#This Row],[CARGODEF]])),1,0)</f>
        <v>1</v>
      </c>
      <c r="P488" s="29">
        <v>38</v>
      </c>
      <c r="Q488">
        <v>376</v>
      </c>
      <c r="R488">
        <v>90</v>
      </c>
      <c r="S488" s="26">
        <f>95/2</f>
        <v>47.5</v>
      </c>
      <c r="T488" s="25">
        <f>IFERROR(PROPERTIES[[#This Row],[TE_STARTING_KN]]/(PROPERTIES[[#This Row],[WEIGHT]]*9.81),0)</f>
        <v>0.127420998980632</v>
      </c>
      <c r="U488" s="25">
        <v>0.12</v>
      </c>
      <c r="V488" s="22">
        <f>ROUND(IF(IFERROR(PROPERTIES[[#This Row],[TE_COEFFICIENT_CALC]],0)=0,PROPERTIES[[#This Row],[TE_COEFFICIENT_MANUAL]],PROPERTIES[[#This Row],[TE_COEFFICIENT_CALC]]),3)</f>
        <v>0.127</v>
      </c>
      <c r="W488" s="10" cm="1">
        <f t="array" ref="W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8" s="32">
        <v>62</v>
      </c>
      <c r="Y488" s="8">
        <v>8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8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9" t="b">
        <v>0</v>
      </c>
      <c r="AY488"/>
      <c r="AZ488"/>
      <c r="BA488"/>
    </row>
    <row r="489" spans="1:53">
      <c r="A489" s="2" t="s">
        <v>509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t="s">
        <v>1773</v>
      </c>
      <c r="F489" t="str">
        <f>_xlfn.XLOOKUP(PROPERTIES[[#This Row],[COUNTRY]],COUNTRIES[COUNTRY_DESCRIPTION],COUNTRIES[COUNTRY_LABEL],"")</f>
        <v>GB</v>
      </c>
      <c r="G489" t="str" cm="1">
        <f t="array" ref="G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9" t="s">
        <v>17</v>
      </c>
      <c r="I489">
        <v>27</v>
      </c>
      <c r="J489">
        <v>7</v>
      </c>
      <c r="K489">
        <v>7</v>
      </c>
      <c r="L489" t="str" cm="1">
        <f t="array" ref="L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9">
        <f>_xlfn.XLOOKUP("LOADINGSPEEDDEF_"&amp;PROPERTIES[[#This Row],[LOADINGSPEED]],LOADINGSPEEDDEF[TYPE],LOADINGSPEEDDEF[SPEED])</f>
        <v>40</v>
      </c>
      <c r="N489" cm="1">
        <f t="array" ref="N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9">
        <f>IF(ISNUMBER(SEARCH("passenger",PROPERTIES[[#This Row],[CARGODEF]])),1,0)</f>
        <v>1</v>
      </c>
      <c r="P489" s="29">
        <v>67</v>
      </c>
      <c r="Q489">
        <v>2000</v>
      </c>
      <c r="R489">
        <v>145</v>
      </c>
      <c r="S489" s="26">
        <f>125/2</f>
        <v>62.5</v>
      </c>
      <c r="T489" s="25">
        <f>IFERROR(PROPERTIES[[#This Row],[TE_STARTING_KN]]/(PROPERTIES[[#This Row],[WEIGHT]]*9.81),0)</f>
        <v>9.5090297746740313E-2</v>
      </c>
      <c r="U489" s="25">
        <v>0.24</v>
      </c>
      <c r="V489" s="22">
        <f>ROUND(IF(IFERROR(PROPERTIES[[#This Row],[TE_COEFFICIENT_CALC]],0)=0,PROPERTIES[[#This Row],[TE_COEFFICIENT_MANUAL]],PROPERTIES[[#This Row],[TE_COEFFICIENT_CALC]]),3)</f>
        <v>9.5000000000000001E-2</v>
      </c>
      <c r="W489" s="10" cm="1">
        <f t="array" ref="W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9" s="32">
        <v>42</v>
      </c>
      <c r="Y489" s="8">
        <v>7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8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9" t="b">
        <v>0</v>
      </c>
      <c r="AY489"/>
      <c r="AZ489"/>
      <c r="BA489"/>
    </row>
    <row r="490" spans="1:53">
      <c r="A490" s="2" t="s">
        <v>510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t="s">
        <v>1710</v>
      </c>
      <c r="F490" t="str">
        <f>_xlfn.XLOOKUP(PROPERTIES[[#This Row],[COUNTRY]],COUNTRIES[COUNTRY_DESCRIPTION],COUNTRIES[COUNTRY_LABEL],"")</f>
        <v>AU</v>
      </c>
      <c r="G490" t="str" cm="1">
        <f t="array" ref="G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0" t="s">
        <v>17</v>
      </c>
      <c r="I490">
        <v>74</v>
      </c>
      <c r="J490">
        <v>8</v>
      </c>
      <c r="K490">
        <v>8</v>
      </c>
      <c r="L490" t="str" cm="1">
        <f t="array" ref="L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0">
        <f>_xlfn.XLOOKUP("LOADINGSPEEDDEF_"&amp;PROPERTIES[[#This Row],[LOADINGSPEED]],LOADINGSPEEDDEF[TYPE],LOADINGSPEEDDEF[SPEED])</f>
        <v>40</v>
      </c>
      <c r="N490" cm="1">
        <f t="array" ref="N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0">
        <f>IF(ISNUMBER(SEARCH("passenger",PROPERTIES[[#This Row],[CARGODEF]])),1,0)</f>
        <v>1</v>
      </c>
      <c r="P490" s="29">
        <v>33</v>
      </c>
      <c r="Q490">
        <v>416</v>
      </c>
      <c r="R490">
        <v>90</v>
      </c>
      <c r="S490" s="26">
        <f>58/2</f>
        <v>29</v>
      </c>
      <c r="T490" s="25">
        <f>IFERROR(PROPERTIES[[#This Row],[TE_STARTING_KN]]/(PROPERTIES[[#This Row],[WEIGHT]]*9.81),0)</f>
        <v>8.9580823525777648E-2</v>
      </c>
      <c r="U490" s="25">
        <v>0.44</v>
      </c>
      <c r="V490" s="22">
        <f>ROUND(IF(IFERROR(PROPERTIES[[#This Row],[TE_COEFFICIENT_CALC]],0)=0,PROPERTIES[[#This Row],[TE_COEFFICIENT_MANUAL]],PROPERTIES[[#This Row],[TE_COEFFICIENT_CALC]]),3)</f>
        <v>0.09</v>
      </c>
      <c r="W490" s="10" cm="1">
        <f t="array" ref="W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0" s="32">
        <v>74</v>
      </c>
      <c r="Y490" s="8">
        <v>7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8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9" t="b">
        <v>0</v>
      </c>
      <c r="AY490"/>
      <c r="AZ490"/>
      <c r="BA490"/>
    </row>
    <row r="491" spans="1:53">
      <c r="A491" s="2" t="s">
        <v>511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t="s">
        <v>1772</v>
      </c>
      <c r="F491" t="str">
        <f>_xlfn.XLOOKUP(PROPERTIES[[#This Row],[COUNTRY]],COUNTRIES[COUNTRY_DESCRIPTION],COUNTRIES[COUNTRY_LABEL],"")</f>
        <v>FR</v>
      </c>
      <c r="G491" t="str" cm="1">
        <f t="array" ref="G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1" t="s">
        <v>17</v>
      </c>
      <c r="I491">
        <v>133</v>
      </c>
      <c r="J491">
        <v>8</v>
      </c>
      <c r="K491">
        <v>8</v>
      </c>
      <c r="L491" t="str" cm="1">
        <f t="array" ref="L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1">
        <f>_xlfn.XLOOKUP("LOADINGSPEEDDEF_"&amp;PROPERTIES[[#This Row],[LOADINGSPEED]],LOADINGSPEEDDEF[TYPE],LOADINGSPEEDDEF[SPEED])</f>
        <v>40</v>
      </c>
      <c r="N491" cm="1">
        <f t="array" ref="N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1">
        <f>IF(ISNUMBER(SEARCH("passenger",PROPERTIES[[#This Row],[CARGODEF]])),1,0)</f>
        <v>1</v>
      </c>
      <c r="P491" s="29">
        <v>31</v>
      </c>
      <c r="Q491">
        <v>396</v>
      </c>
      <c r="R491">
        <v>120</v>
      </c>
      <c r="S491" s="26">
        <f>85/2</f>
        <v>42.5</v>
      </c>
      <c r="T491" s="25">
        <f>IFERROR(PROPERTIES[[#This Row],[TE_STARTING_KN]]/(PROPERTIES[[#This Row],[WEIGHT]]*9.81),0)</f>
        <v>0.13975206339811252</v>
      </c>
      <c r="U491" s="25">
        <v>0.2</v>
      </c>
      <c r="V491" s="22">
        <f>ROUND(IF(IFERROR(PROPERTIES[[#This Row],[TE_COEFFICIENT_CALC]],0)=0,PROPERTIES[[#This Row],[TE_COEFFICIENT_MANUAL]],PROPERTIES[[#This Row],[TE_COEFFICIENT_CALC]]),3)</f>
        <v>0.14000000000000001</v>
      </c>
      <c r="W491" s="10" cm="1">
        <f t="array" ref="W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491" s="32">
        <v>133</v>
      </c>
      <c r="Y491" s="8">
        <v>8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8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9" t="b">
        <v>0</v>
      </c>
      <c r="AY491"/>
      <c r="AZ491"/>
      <c r="BA491"/>
    </row>
    <row r="492" spans="1:53">
      <c r="A492" s="2" t="s">
        <v>512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t="s">
        <v>1772</v>
      </c>
      <c r="F492" t="str">
        <f>_xlfn.XLOOKUP(PROPERTIES[[#This Row],[COUNTRY]],COUNTRIES[COUNTRY_DESCRIPTION],COUNTRIES[COUNTRY_LABEL],"")</f>
        <v>FR</v>
      </c>
      <c r="G492" t="str" cm="1">
        <f t="array" ref="G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2" t="s">
        <v>17</v>
      </c>
      <c r="I492">
        <v>60</v>
      </c>
      <c r="J492">
        <v>8</v>
      </c>
      <c r="K492">
        <v>8</v>
      </c>
      <c r="L492" t="str" cm="1">
        <f t="array" ref="L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2">
        <f>_xlfn.XLOOKUP("LOADINGSPEEDDEF_"&amp;PROPERTIES[[#This Row],[LOADINGSPEED]],LOADINGSPEEDDEF[TYPE],LOADINGSPEEDDEF[SPEED])</f>
        <v>40</v>
      </c>
      <c r="N492" cm="1">
        <f t="array" ref="N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2">
        <f>IF(ISNUMBER(SEARCH("passenger",PROPERTIES[[#This Row],[CARGODEF]])),1,0)</f>
        <v>1</v>
      </c>
      <c r="P492" s="29">
        <f>225/2</f>
        <v>112.5</v>
      </c>
      <c r="Q492">
        <v>1036</v>
      </c>
      <c r="R492">
        <v>160</v>
      </c>
      <c r="S492" s="26">
        <f>90/2</f>
        <v>45</v>
      </c>
      <c r="T492" s="25">
        <f>IFERROR(PROPERTIES[[#This Row],[TE_STARTING_KN]]/(PROPERTIES[[#This Row],[WEIGHT]]*9.81),0)</f>
        <v>4.0774719673802244E-2</v>
      </c>
      <c r="U492" s="25">
        <v>0.38</v>
      </c>
      <c r="V492" s="22">
        <f>ROUND(IF(IFERROR(PROPERTIES[[#This Row],[TE_COEFFICIENT_CALC]],0)=0,PROPERTIES[[#This Row],[TE_COEFFICIENT_MANUAL]],PROPERTIES[[#This Row],[TE_COEFFICIENT_CALC]]),3)</f>
        <v>4.1000000000000002E-2</v>
      </c>
      <c r="W492" s="10" cm="1">
        <f t="array" ref="W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2" s="32">
        <f>400/5</f>
        <v>80</v>
      </c>
      <c r="Y492" s="8">
        <v>8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8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9" t="b">
        <v>0</v>
      </c>
      <c r="AY492"/>
      <c r="AZ492"/>
      <c r="BA492"/>
    </row>
    <row r="493" spans="1:53">
      <c r="A493" s="2" t="s">
        <v>513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t="s">
        <v>1862</v>
      </c>
      <c r="F493" t="str">
        <f>_xlfn.XLOOKUP(PROPERTIES[[#This Row],[COUNTRY]],COUNTRIES[COUNTRY_DESCRIPTION],COUNTRIES[COUNTRY_LABEL],"")</f>
        <v>NL</v>
      </c>
      <c r="G493" t="str" cm="1">
        <f t="array" ref="G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3" t="s">
        <v>17</v>
      </c>
      <c r="I493">
        <v>80</v>
      </c>
      <c r="J493">
        <v>8</v>
      </c>
      <c r="K493">
        <v>8</v>
      </c>
      <c r="L493" t="str" cm="1">
        <f t="array" ref="L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3">
        <f>_xlfn.XLOOKUP("LOADINGSPEEDDEF_"&amp;PROPERTIES[[#This Row],[LOADINGSPEED]],LOADINGSPEEDDEF[TYPE],LOADINGSPEEDDEF[SPEED])</f>
        <v>40</v>
      </c>
      <c r="N493" cm="1">
        <f t="array" ref="N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3">
        <f>IF(ISNUMBER(SEARCH("passenger",PROPERTIES[[#This Row],[CARGODEF]])),1,0)</f>
        <v>1</v>
      </c>
      <c r="P493" s="29">
        <v>34</v>
      </c>
      <c r="Q493">
        <v>562</v>
      </c>
      <c r="R493">
        <v>101</v>
      </c>
      <c r="S493" s="26">
        <f>68/2</f>
        <v>34</v>
      </c>
      <c r="T493" s="25">
        <f>IFERROR(PROPERTIES[[#This Row],[TE_STARTING_KN]]/(PROPERTIES[[#This Row],[WEIGHT]]*9.81),0)</f>
        <v>0.1019367991845056</v>
      </c>
      <c r="U493" s="25">
        <v>0.3</v>
      </c>
      <c r="V493" s="22">
        <f>ROUND(IF(IFERROR(PROPERTIES[[#This Row],[TE_COEFFICIENT_CALC]],0)=0,PROPERTIES[[#This Row],[TE_COEFFICIENT_MANUAL]],PROPERTIES[[#This Row],[TE_COEFFICIENT_CALC]]),3)</f>
        <v>0.10199999999999999</v>
      </c>
      <c r="W493" s="10" cm="1">
        <f t="array" ref="W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3" s="32">
        <v>80</v>
      </c>
      <c r="Y493" s="8">
        <v>8</v>
      </c>
      <c r="Z493" t="s">
        <v>878</v>
      </c>
      <c r="AA493" t="s">
        <v>876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8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9" t="b">
        <v>0</v>
      </c>
      <c r="AY493"/>
      <c r="AZ493"/>
      <c r="BA493"/>
    </row>
    <row r="494" spans="1:53">
      <c r="A494" s="2" t="s">
        <v>514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t="s">
        <v>1754</v>
      </c>
      <c r="F494" t="str">
        <f>_xlfn.XLOOKUP(PROPERTIES[[#This Row],[COUNTRY]],COUNTRIES[COUNTRY_DESCRIPTION],COUNTRIES[COUNTRY_LABEL],"")</f>
        <v>DE</v>
      </c>
      <c r="G494" t="str" cm="1">
        <f t="array" ref="G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4" t="s">
        <v>17</v>
      </c>
      <c r="I494">
        <f>INT(136/2)</f>
        <v>68</v>
      </c>
      <c r="J494">
        <v>8</v>
      </c>
      <c r="K494">
        <v>8</v>
      </c>
      <c r="L494" t="str" cm="1">
        <f t="array" ref="L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4">
        <f>_xlfn.XLOOKUP("LOADINGSPEEDDEF_"&amp;PROPERTIES[[#This Row],[LOADINGSPEED]],LOADINGSPEEDDEF[TYPE],LOADINGSPEEDDEF[SPEED])</f>
        <v>40</v>
      </c>
      <c r="N494" t="str" cm="1">
        <f t="array" ref="N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4">
        <f>IF(ISNUMBER(SEARCH("passenger",PROPERTIES[[#This Row],[CARGODEF]])),1,0)</f>
        <v>1</v>
      </c>
      <c r="P494" s="29">
        <v>42</v>
      </c>
      <c r="Q494">
        <v>650</v>
      </c>
      <c r="R494">
        <v>120</v>
      </c>
      <c r="S494" s="26">
        <f>95/2</f>
        <v>47.5</v>
      </c>
      <c r="T494" s="25">
        <f>IFERROR(PROPERTIES[[#This Row],[TE_STARTING_KN]]/(PROPERTIES[[#This Row],[WEIGHT]]*9.81),0)</f>
        <v>0.11528566574438133</v>
      </c>
      <c r="U494" s="25">
        <v>0.27</v>
      </c>
      <c r="V494" s="22">
        <f>ROUND(IF(IFERROR(PROPERTIES[[#This Row],[TE_COEFFICIENT_CALC]],0)=0,PROPERTIES[[#This Row],[TE_COEFFICIENT_MANUAL]],PROPERTIES[[#This Row],[TE_COEFFICIENT_CALC]]),3)</f>
        <v>0.115</v>
      </c>
      <c r="W494" s="10" cm="1">
        <f t="array" ref="W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4" s="32">
        <f>INT(136/2)</f>
        <v>68</v>
      </c>
      <c r="Y494" s="8">
        <v>8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8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9" t="b">
        <v>0</v>
      </c>
      <c r="AY494"/>
      <c r="AZ494"/>
      <c r="BA494"/>
    </row>
    <row r="495" spans="1:53">
      <c r="A495" s="2" t="s">
        <v>515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t="s">
        <v>1759</v>
      </c>
      <c r="F495" t="str">
        <f>_xlfn.XLOOKUP(PROPERTIES[[#This Row],[COUNTRY]],COUNTRIES[COUNTRY_DESCRIPTION],COUNTRIES[COUNTRY_LABEL],"")</f>
        <v>DZ</v>
      </c>
      <c r="G495" t="str" cm="1">
        <f t="array" ref="G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5" t="s">
        <v>17</v>
      </c>
      <c r="I495">
        <f>INT(199/2)</f>
        <v>99</v>
      </c>
      <c r="J495">
        <v>8</v>
      </c>
      <c r="K495">
        <v>8</v>
      </c>
      <c r="L495" t="str" cm="1">
        <f t="array" ref="L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5">
        <f>_xlfn.XLOOKUP("LOADINGSPEEDDEF_"&amp;PROPERTIES[[#This Row],[LOADINGSPEED]],LOADINGSPEEDDEF[TYPE],LOADINGSPEEDDEF[SPEED])</f>
        <v>40</v>
      </c>
      <c r="N495" t="str" cm="1">
        <f t="array" ref="N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5">
        <f>IF(ISNUMBER(SEARCH("passenger",PROPERTIES[[#This Row],[CARGODEF]])),1,0)</f>
        <v>1</v>
      </c>
      <c r="P495" s="29">
        <v>55</v>
      </c>
      <c r="Q495">
        <v>1352</v>
      </c>
      <c r="R495">
        <v>160</v>
      </c>
      <c r="S495" s="26">
        <f>140/2</f>
        <v>70</v>
      </c>
      <c r="T495" s="25">
        <f>IFERROR(PROPERTIES[[#This Row],[TE_STARTING_KN]]/(PROPERTIES[[#This Row],[WEIGHT]]*9.81),0)</f>
        <v>0.12973774441664349</v>
      </c>
      <c r="U495" s="25">
        <v>0.37</v>
      </c>
      <c r="V495" s="22">
        <f>ROUND(IF(IFERROR(PROPERTIES[[#This Row],[TE_COEFFICIENT_CALC]],0)=0,PROPERTIES[[#This Row],[TE_COEFFICIENT_MANUAL]],PROPERTIES[[#This Row],[TE_COEFFICIENT_CALC]]),3)</f>
        <v>0.13</v>
      </c>
      <c r="W495" s="10" cm="1">
        <f t="array" ref="W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5" s="32">
        <f>INT(199/2)</f>
        <v>99</v>
      </c>
      <c r="Y495" s="8">
        <v>8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8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9" t="b">
        <v>0</v>
      </c>
      <c r="AY495"/>
      <c r="AZ495"/>
      <c r="BA495"/>
    </row>
    <row r="496" spans="1:53">
      <c r="A496" s="2" t="s">
        <v>516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t="s">
        <v>1919</v>
      </c>
      <c r="F496" t="str">
        <f>_xlfn.XLOOKUP(PROPERTIES[[#This Row],[COUNTRY]],COUNTRIES[COUNTRY_DESCRIPTION],COUNTRIES[COUNTRY_LABEL],"")</f>
        <v>TN</v>
      </c>
      <c r="G496" t="str" cm="1">
        <f t="array" ref="G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6" t="s">
        <v>17</v>
      </c>
      <c r="I496">
        <v>55</v>
      </c>
      <c r="J496">
        <v>8</v>
      </c>
      <c r="K496">
        <v>8</v>
      </c>
      <c r="L496" t="str" cm="1">
        <f t="array" ref="L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6">
        <f>_xlfn.XLOOKUP("LOADINGSPEEDDEF_"&amp;PROPERTIES[[#This Row],[LOADINGSPEED]],LOADINGSPEEDDEF[TYPE],LOADINGSPEEDDEF[SPEED])</f>
        <v>40</v>
      </c>
      <c r="N496" t="str" cm="1">
        <f t="array" ref="N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6">
        <f>IF(ISNUMBER(SEARCH("passenger",PROPERTIES[[#This Row],[CARGODEF]])),1,0)</f>
        <v>1</v>
      </c>
      <c r="P496" s="29">
        <v>35</v>
      </c>
      <c r="Q496">
        <v>1232</v>
      </c>
      <c r="R496">
        <v>100</v>
      </c>
      <c r="S496" s="26">
        <f>135/2</f>
        <v>67.5</v>
      </c>
      <c r="T496" s="25">
        <f>IFERROR(PROPERTIES[[#This Row],[TE_STARTING_KN]]/(PROPERTIES[[#This Row],[WEIGHT]]*9.81),0)</f>
        <v>0.19659239842726081</v>
      </c>
      <c r="U496" s="25">
        <v>0.52</v>
      </c>
      <c r="V496" s="22">
        <f>ROUND(IF(IFERROR(PROPERTIES[[#This Row],[TE_COEFFICIENT_CALC]],0)=0,PROPERTIES[[#This Row],[TE_COEFFICIENT_MANUAL]],PROPERTIES[[#This Row],[TE_COEFFICIENT_CALC]]),3)</f>
        <v>0.19700000000000001</v>
      </c>
      <c r="W496" s="10" cm="1">
        <f t="array" ref="W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6" s="32">
        <v>55</v>
      </c>
      <c r="Y496" s="8">
        <v>8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8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9" t="b">
        <v>0</v>
      </c>
      <c r="AY496"/>
      <c r="AZ496"/>
      <c r="BA496"/>
    </row>
    <row r="497" spans="1:53">
      <c r="A497" s="2" t="s">
        <v>517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t="s">
        <v>1778</v>
      </c>
      <c r="F497" t="str">
        <f>_xlfn.XLOOKUP(PROPERTIES[[#This Row],[COUNTRY]],COUNTRIES[COUNTRY_DESCRIPTION],COUNTRIES[COUNTRY_LABEL],"")</f>
        <v>GH</v>
      </c>
      <c r="G497" t="str" cm="1">
        <f t="array" ref="G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7" t="s">
        <v>17</v>
      </c>
      <c r="I497">
        <v>102</v>
      </c>
      <c r="J497">
        <v>7</v>
      </c>
      <c r="K497">
        <v>7</v>
      </c>
      <c r="L497" t="str" cm="1">
        <f t="array" ref="L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7">
        <f>_xlfn.XLOOKUP("LOADINGSPEEDDEF_"&amp;PROPERTIES[[#This Row],[LOADINGSPEED]],LOADINGSPEEDDEF[TYPE],LOADINGSPEEDDEF[SPEED])</f>
        <v>40</v>
      </c>
      <c r="N497" t="str" cm="1">
        <f t="array" ref="N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7">
        <f>IF(ISNUMBER(SEARCH("passenger",PROPERTIES[[#This Row],[CARGODEF]])),1,0)</f>
        <v>1</v>
      </c>
      <c r="P497" s="29">
        <v>48</v>
      </c>
      <c r="Q497">
        <v>1656</v>
      </c>
      <c r="R497">
        <v>90</v>
      </c>
      <c r="S497" s="26">
        <f>145/2</f>
        <v>72.5</v>
      </c>
      <c r="T497" s="25">
        <f>IFERROR(PROPERTIES[[#This Row],[TE_STARTING_KN]]/(PROPERTIES[[#This Row],[WEIGHT]]*9.81),0)</f>
        <v>0.15396704043493034</v>
      </c>
      <c r="U497" s="25">
        <v>0.3</v>
      </c>
      <c r="V497" s="22">
        <f>ROUND(IF(IFERROR(PROPERTIES[[#This Row],[TE_COEFFICIENT_CALC]],0)=0,PROPERTIES[[#This Row],[TE_COEFFICIENT_MANUAL]],PROPERTIES[[#This Row],[TE_COEFFICIENT_CALC]]),3)</f>
        <v>0.154</v>
      </c>
      <c r="W497" s="10" cm="1">
        <f t="array" ref="W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7" s="32">
        <v>102</v>
      </c>
      <c r="Y497" s="8">
        <v>7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8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9" t="b">
        <v>0</v>
      </c>
      <c r="AY497"/>
      <c r="AZ497"/>
      <c r="BA497"/>
    </row>
    <row r="498" spans="1:53">
      <c r="A498" s="2" t="s">
        <v>518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t="s">
        <v>1710</v>
      </c>
      <c r="F498" t="str">
        <f>_xlfn.XLOOKUP(PROPERTIES[[#This Row],[COUNTRY]],COUNTRIES[COUNTRY_DESCRIPTION],COUNTRIES[COUNTRY_LABEL],"")</f>
        <v>AU</v>
      </c>
      <c r="G498" t="str" cm="1">
        <f t="array" ref="G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8" t="s">
        <v>17</v>
      </c>
      <c r="I498">
        <v>0</v>
      </c>
      <c r="J498">
        <v>8</v>
      </c>
      <c r="K498">
        <v>8</v>
      </c>
      <c r="L498" t="str" cm="1">
        <f t="array" ref="L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8">
        <f>_xlfn.XLOOKUP("LOADINGSPEEDDEF_"&amp;PROPERTIES[[#This Row],[LOADINGSPEED]],LOADINGSPEEDDEF[TYPE],LOADINGSPEEDDEF[SPEED])</f>
        <v>40</v>
      </c>
      <c r="N498" t="str" cm="1">
        <f t="array" ref="N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8">
        <f>IF(ISNUMBER(SEARCH("passenger",PROPERTIES[[#This Row],[CARGODEF]])),1,0)</f>
        <v>1</v>
      </c>
      <c r="P498" s="29">
        <v>60</v>
      </c>
      <c r="Q498">
        <v>7240</v>
      </c>
      <c r="R498">
        <v>160</v>
      </c>
      <c r="S498" s="26">
        <f>185/2</f>
        <v>92.5</v>
      </c>
      <c r="T498" s="25">
        <f>IFERROR(PROPERTIES[[#This Row],[TE_STARTING_KN]]/(PROPERTIES[[#This Row],[WEIGHT]]*9.81),0)</f>
        <v>0.15715256540944614</v>
      </c>
      <c r="U498" s="25">
        <v>0.21</v>
      </c>
      <c r="V498" s="22">
        <f>ROUND(IF(IFERROR(PROPERTIES[[#This Row],[TE_COEFFICIENT_CALC]],0)=0,PROPERTIES[[#This Row],[TE_COEFFICIENT_MANUAL]],PROPERTIES[[#This Row],[TE_COEFFICIENT_CALC]]),3)</f>
        <v>0.157</v>
      </c>
      <c r="W498" s="10" cm="1">
        <f t="array" ref="W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8" s="32">
        <v>39</v>
      </c>
      <c r="Y498" s="8">
        <v>8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8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9" t="b">
        <v>0</v>
      </c>
      <c r="AY498"/>
      <c r="AZ498"/>
      <c r="BA498"/>
    </row>
    <row r="499" spans="1:53">
      <c r="A499" s="2" t="s">
        <v>519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t="s">
        <v>1735</v>
      </c>
      <c r="F499" t="str">
        <f>_xlfn.XLOOKUP(PROPERTIES[[#This Row],[COUNTRY]],COUNTRIES[COUNTRY_DESCRIPTION],COUNTRIES[COUNTRY_LABEL],"")</f>
        <v>CA</v>
      </c>
      <c r="G499" t="str" cm="1">
        <f t="array" ref="G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9" t="s">
        <v>17</v>
      </c>
      <c r="I499">
        <v>80</v>
      </c>
      <c r="J499">
        <v>8</v>
      </c>
      <c r="K499">
        <v>8</v>
      </c>
      <c r="L499" t="str" cm="1">
        <f t="array" ref="L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9">
        <f>_xlfn.XLOOKUP("LOADINGSPEEDDEF_"&amp;PROPERTIES[[#This Row],[LOADINGSPEED]],LOADINGSPEEDDEF[TYPE],LOADINGSPEEDDEF[SPEED])</f>
        <v>40</v>
      </c>
      <c r="N499" t="str" cm="1">
        <f t="array" ref="N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9">
        <f>IF(ISNUMBER(SEARCH("passenger",PROPERTIES[[#This Row],[CARGODEF]])),1,0)</f>
        <v>1</v>
      </c>
      <c r="P499" s="29">
        <v>67.5</v>
      </c>
      <c r="Q499">
        <v>1520</v>
      </c>
      <c r="R499">
        <v>128</v>
      </c>
      <c r="S499" s="26">
        <f>130/2</f>
        <v>65</v>
      </c>
      <c r="T499" s="25">
        <f>IFERROR(PROPERTIES[[#This Row],[TE_STARTING_KN]]/(PROPERTIES[[#This Row],[WEIGHT]]*9.81),0)</f>
        <v>9.816136217767206E-2</v>
      </c>
      <c r="U499" s="25">
        <v>0.28999999999999998</v>
      </c>
      <c r="V499" s="22">
        <f>ROUND(IF(IFERROR(PROPERTIES[[#This Row],[TE_COEFFICIENT_CALC]],0)=0,PROPERTIES[[#This Row],[TE_COEFFICIENT_MANUAL]],PROPERTIES[[#This Row],[TE_COEFFICIENT_CALC]]),3)</f>
        <v>9.8000000000000004E-2</v>
      </c>
      <c r="W499" s="10" cm="1">
        <f t="array" ref="W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9" s="32">
        <v>80</v>
      </c>
      <c r="Y499" s="8">
        <v>8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8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9" t="b">
        <v>0</v>
      </c>
      <c r="AY499"/>
      <c r="AZ499"/>
      <c r="BA499"/>
    </row>
    <row r="500" spans="1:53">
      <c r="A500" s="2" t="s">
        <v>520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t="s">
        <v>1707</v>
      </c>
      <c r="F500" t="str">
        <f>_xlfn.XLOOKUP(PROPERTIES[[#This Row],[COUNTRY]],COUNTRIES[COUNTRY_DESCRIPTION],COUNTRIES[COUNTRY_LABEL],"")</f>
        <v>AR</v>
      </c>
      <c r="G500" t="str" cm="1">
        <f t="array" ref="G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0" t="s">
        <v>17</v>
      </c>
      <c r="I500">
        <v>70</v>
      </c>
      <c r="J500">
        <v>8</v>
      </c>
      <c r="K500">
        <v>8</v>
      </c>
      <c r="L500" t="str" cm="1">
        <f t="array" ref="L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0">
        <f>_xlfn.XLOOKUP("LOADINGSPEEDDEF_"&amp;PROPERTIES[[#This Row],[LOADINGSPEED]],LOADINGSPEEDDEF[TYPE],LOADINGSPEEDDEF[SPEED])</f>
        <v>40</v>
      </c>
      <c r="N500" t="str" cm="1">
        <f t="array" ref="N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0">
        <f>IF(ISNUMBER(SEARCH("passenger",PROPERTIES[[#This Row],[CARGODEF]])),1,0)</f>
        <v>1</v>
      </c>
      <c r="P500" s="29">
        <v>48</v>
      </c>
      <c r="Q500">
        <v>800</v>
      </c>
      <c r="R500">
        <v>120</v>
      </c>
      <c r="S500" s="26">
        <f>85/2</f>
        <v>42.5</v>
      </c>
      <c r="T500" s="25">
        <f>IFERROR(PROPERTIES[[#This Row],[TE_STARTING_KN]]/(PROPERTIES[[#This Row],[WEIGHT]]*9.81),0)</f>
        <v>9.0256540944614341E-2</v>
      </c>
      <c r="U500" s="25">
        <v>0.39</v>
      </c>
      <c r="V500" s="22">
        <f>ROUND(IF(IFERROR(PROPERTIES[[#This Row],[TE_COEFFICIENT_CALC]],0)=0,PROPERTIES[[#This Row],[TE_COEFFICIENT_MANUAL]],PROPERTIES[[#This Row],[TE_COEFFICIENT_CALC]]),3)</f>
        <v>0.09</v>
      </c>
      <c r="W500" s="10" cm="1">
        <f t="array" ref="W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0" s="32">
        <v>70</v>
      </c>
      <c r="Y500" s="8">
        <v>8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8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9" t="b">
        <v>0</v>
      </c>
      <c r="AY500"/>
      <c r="AZ500"/>
      <c r="BA500"/>
    </row>
    <row r="501" spans="1:53">
      <c r="A501" s="2" t="s">
        <v>521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t="s">
        <v>1806</v>
      </c>
      <c r="F501" t="str">
        <f>_xlfn.XLOOKUP(PROPERTIES[[#This Row],[COUNTRY]],COUNTRIES[COUNTRY_DESCRIPTION],COUNTRIES[COUNTRY_LABEL],"")</f>
        <v>IT</v>
      </c>
      <c r="G501" t="str" cm="1">
        <f t="array" ref="G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1" t="s">
        <v>17</v>
      </c>
      <c r="I501">
        <v>60</v>
      </c>
      <c r="J501">
        <v>8</v>
      </c>
      <c r="K501">
        <v>8</v>
      </c>
      <c r="L501" t="str" cm="1">
        <f t="array" ref="L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1">
        <f>_xlfn.XLOOKUP("LOADINGSPEEDDEF_"&amp;PROPERTIES[[#This Row],[LOADINGSPEED]],LOADINGSPEEDDEF[TYPE],LOADINGSPEEDDEF[SPEED])</f>
        <v>40</v>
      </c>
      <c r="N501" cm="1">
        <f t="array" ref="N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1">
        <f>IF(ISNUMBER(SEARCH("passenger",PROPERTIES[[#This Row],[CARGODEF]])),1,0)</f>
        <v>1</v>
      </c>
      <c r="P501" s="29">
        <v>52</v>
      </c>
      <c r="Q501">
        <v>1250</v>
      </c>
      <c r="R501">
        <v>140</v>
      </c>
      <c r="S501" s="26">
        <f>98/2</f>
        <v>49</v>
      </c>
      <c r="T501" s="25">
        <f>IFERROR(PROPERTIES[[#This Row],[TE_STARTING_KN]]/(PROPERTIES[[#This Row],[WEIGHT]]*9.81),0)</f>
        <v>9.6055830000784131E-2</v>
      </c>
      <c r="U501" s="25">
        <v>0.13</v>
      </c>
      <c r="V501" s="22">
        <f>ROUND(IF(IFERROR(PROPERTIES[[#This Row],[TE_COEFFICIENT_CALC]],0)=0,PROPERTIES[[#This Row],[TE_COEFFICIENT_MANUAL]],PROPERTIES[[#This Row],[TE_COEFFICIENT_CALC]]),3)</f>
        <v>9.6000000000000002E-2</v>
      </c>
      <c r="W501" s="10" cm="1">
        <f t="array" ref="W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1" s="32">
        <v>60</v>
      </c>
      <c r="Y501" s="8">
        <v>8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8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9" t="b">
        <v>0</v>
      </c>
      <c r="AY501"/>
      <c r="AZ501"/>
      <c r="BA501"/>
    </row>
    <row r="502" spans="1:53">
      <c r="A502" s="2" t="s">
        <v>522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t="s">
        <v>1880</v>
      </c>
      <c r="F502" t="str">
        <f>_xlfn.XLOOKUP(PROPERTIES[[#This Row],[COUNTRY]],COUNTRIES[COUNTRY_DESCRIPTION],COUNTRIES[COUNTRY_LABEL],"")</f>
        <v>PT</v>
      </c>
      <c r="G502" t="str" cm="1">
        <f t="array" ref="G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2" t="s">
        <v>17</v>
      </c>
      <c r="I502">
        <f>INT(185/2)</f>
        <v>92</v>
      </c>
      <c r="J502">
        <v>8</v>
      </c>
      <c r="K502">
        <v>8</v>
      </c>
      <c r="L502" t="str" cm="1">
        <f t="array" ref="L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2">
        <f>_xlfn.XLOOKUP("LOADINGSPEEDDEF_"&amp;PROPERTIES[[#This Row],[LOADINGSPEED]],LOADINGSPEEDDEF[TYPE],LOADINGSPEEDDEF[SPEED])</f>
        <v>40</v>
      </c>
      <c r="N502" cm="1">
        <f t="array" ref="N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2">
        <f>IF(ISNUMBER(SEARCH("passenger",PROPERTIES[[#This Row],[CARGODEF]])),1,0)</f>
        <v>1</v>
      </c>
      <c r="P502" s="29">
        <v>49</v>
      </c>
      <c r="Q502">
        <f>520*2</f>
        <v>1040</v>
      </c>
      <c r="R502">
        <v>110</v>
      </c>
      <c r="S502" s="26">
        <f>66/2</f>
        <v>33</v>
      </c>
      <c r="T502" s="25">
        <f>IFERROR(PROPERTIES[[#This Row],[TE_STARTING_KN]]/(PROPERTIES[[#This Row],[WEIGHT]]*9.81),0)</f>
        <v>6.865131373650378E-2</v>
      </c>
      <c r="U502" s="25">
        <v>0.13</v>
      </c>
      <c r="V502" s="22">
        <f>ROUND(IF(IFERROR(PROPERTIES[[#This Row],[TE_COEFFICIENT_CALC]],0)=0,PROPERTIES[[#This Row],[TE_COEFFICIENT_MANUAL]],PROPERTIES[[#This Row],[TE_COEFFICIENT_CALC]]),3)</f>
        <v>6.9000000000000006E-2</v>
      </c>
      <c r="W502" s="10" cm="1">
        <f t="array" ref="W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2" s="41">
        <f>INT(185/2)</f>
        <v>92</v>
      </c>
      <c r="Y502" s="8">
        <v>8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8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9" t="b">
        <v>0</v>
      </c>
      <c r="AY502"/>
      <c r="AZ502"/>
      <c r="BA502"/>
    </row>
    <row r="503" spans="1:53">
      <c r="A503" s="2" t="s">
        <v>523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t="s">
        <v>1880</v>
      </c>
      <c r="F503" t="str">
        <f>_xlfn.XLOOKUP(PROPERTIES[[#This Row],[COUNTRY]],COUNTRIES[COUNTRY_DESCRIPTION],COUNTRIES[COUNTRY_LABEL],"")</f>
        <v>PT</v>
      </c>
      <c r="G503" t="str" cm="1">
        <f t="array" ref="G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3" t="s">
        <v>17</v>
      </c>
      <c r="I503">
        <f>INT(194/2)</f>
        <v>97</v>
      </c>
      <c r="J503">
        <v>8</v>
      </c>
      <c r="K503">
        <v>8</v>
      </c>
      <c r="L503" t="str" cm="1">
        <f t="array" ref="L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3">
        <f>_xlfn.XLOOKUP("LOADINGSPEEDDEF_"&amp;PROPERTIES[[#This Row],[LOADINGSPEED]],LOADINGSPEEDDEF[TYPE],LOADINGSPEEDDEF[SPEED])</f>
        <v>40</v>
      </c>
      <c r="N503" cm="1">
        <f t="array" ref="N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3">
        <f>IF(ISNUMBER(SEARCH("passenger",PROPERTIES[[#This Row],[CARGODEF]])),1,0)</f>
        <v>1</v>
      </c>
      <c r="P503" s="29">
        <v>53</v>
      </c>
      <c r="Q503">
        <f>776*2</f>
        <v>1552</v>
      </c>
      <c r="R503">
        <v>120</v>
      </c>
      <c r="S503" s="26">
        <f>114/2</f>
        <v>57</v>
      </c>
      <c r="T503" s="25">
        <f>IFERROR(PROPERTIES[[#This Row],[TE_STARTING_KN]]/(PROPERTIES[[#This Row],[WEIGHT]]*9.81),0)</f>
        <v>0.10963014251918526</v>
      </c>
      <c r="U503" s="25">
        <v>0.21</v>
      </c>
      <c r="V503" s="22">
        <f>ROUND(IF(IFERROR(PROPERTIES[[#This Row],[TE_COEFFICIENT_CALC]],0)=0,PROPERTIES[[#This Row],[TE_COEFFICIENT_MANUAL]],PROPERTIES[[#This Row],[TE_COEFFICIENT_CALC]]),3)</f>
        <v>0.11</v>
      </c>
      <c r="W503" s="10" cm="1">
        <f t="array" ref="W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3" s="32">
        <f>INT(194/2)</f>
        <v>97</v>
      </c>
      <c r="Y503" s="8">
        <v>8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8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9" t="b">
        <v>0</v>
      </c>
      <c r="AY503"/>
      <c r="AZ503"/>
      <c r="BA503"/>
    </row>
    <row r="504" spans="1:53">
      <c r="A504" s="2" t="s">
        <v>524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t="s">
        <v>1765</v>
      </c>
      <c r="F504" t="str">
        <f>_xlfn.XLOOKUP(PROPERTIES[[#This Row],[COUNTRY]],COUNTRIES[COUNTRY_DESCRIPTION],COUNTRIES[COUNTRY_LABEL],"")</f>
        <v>ES</v>
      </c>
      <c r="G504" t="str" cm="1">
        <f t="array" ref="G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4" t="s">
        <v>17</v>
      </c>
      <c r="I504">
        <f>INT(350/3)</f>
        <v>116</v>
      </c>
      <c r="J504">
        <v>7</v>
      </c>
      <c r="K504">
        <v>7</v>
      </c>
      <c r="L504" t="str" cm="1">
        <f t="array" ref="L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4">
        <f>_xlfn.XLOOKUP("LOADINGSPEEDDEF_"&amp;PROPERTIES[[#This Row],[LOADINGSPEED]],LOADINGSPEEDDEF[TYPE],LOADINGSPEEDDEF[SPEED])</f>
        <v>40</v>
      </c>
      <c r="N504" cm="1">
        <f t="array" ref="N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4">
        <f>IF(ISNUMBER(SEARCH("passenger",PROPERTIES[[#This Row],[CARGODEF]])),1,0)</f>
        <v>1</v>
      </c>
      <c r="P504" s="29">
        <v>44</v>
      </c>
      <c r="Q504">
        <v>720</v>
      </c>
      <c r="R504">
        <v>100</v>
      </c>
      <c r="S504" s="26">
        <v>0</v>
      </c>
      <c r="T504" s="25">
        <f>IFERROR(PROPERTIES[[#This Row],[TE_STARTING_KN]]/(PROPERTIES[[#This Row],[WEIGHT]]*9.81),0)</f>
        <v>0</v>
      </c>
      <c r="U504" s="25">
        <v>0.2</v>
      </c>
      <c r="V504" s="22">
        <f>ROUND(IF(IFERROR(PROPERTIES[[#This Row],[TE_COEFFICIENT_CALC]],0)=0,PROPERTIES[[#This Row],[TE_COEFFICIENT_MANUAL]],PROPERTIES[[#This Row],[TE_COEFFICIENT_CALC]]),3)</f>
        <v>0.2</v>
      </c>
      <c r="W504" s="10" cm="1">
        <f t="array" ref="W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4" s="32">
        <f>INT(350/3)</f>
        <v>116</v>
      </c>
      <c r="Y504" s="8">
        <v>7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8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9" t="b">
        <v>0</v>
      </c>
      <c r="AY504"/>
      <c r="AZ504"/>
      <c r="BA504"/>
    </row>
    <row r="505" spans="1:53">
      <c r="A505" s="2" t="s">
        <v>525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t="s">
        <v>1754</v>
      </c>
      <c r="F505" t="str">
        <f>_xlfn.XLOOKUP(PROPERTIES[[#This Row],[COUNTRY]],COUNTRIES[COUNTRY_DESCRIPTION],COUNTRIES[COUNTRY_LABEL],"")</f>
        <v>DE</v>
      </c>
      <c r="G505" t="str" cm="1">
        <f t="array" ref="G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5" t="s">
        <v>526</v>
      </c>
      <c r="I505">
        <v>40</v>
      </c>
      <c r="J505">
        <v>8</v>
      </c>
      <c r="K505">
        <v>8</v>
      </c>
      <c r="L505" t="str" cm="1">
        <f t="array" ref="L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05">
        <f>_xlfn.XLOOKUP("LOADINGSPEEDDEF_"&amp;PROPERTIES[[#This Row],[LOADINGSPEED]],LOADINGSPEEDDEF[TYPE],LOADINGSPEEDDEF[SPEED])</f>
        <v>20</v>
      </c>
      <c r="N505" t="str" cm="1">
        <f t="array" ref="N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5">
        <f>IF(ISNUMBER(SEARCH("passenger",PROPERTIES[[#This Row],[CARGODEF]])),1,0)</f>
        <v>0</v>
      </c>
      <c r="P505" s="29">
        <f>111/2</f>
        <v>55.5</v>
      </c>
      <c r="Q505">
        <f>355*2</f>
        <v>710</v>
      </c>
      <c r="R505">
        <v>120</v>
      </c>
      <c r="S505" s="26">
        <v>0</v>
      </c>
      <c r="T505" s="25">
        <f>IFERROR(PROPERTIES[[#This Row],[TE_STARTING_KN]]/(PROPERTIES[[#This Row],[WEIGHT]]*9.81),0)</f>
        <v>0</v>
      </c>
      <c r="U505" s="25">
        <v>0.17</v>
      </c>
      <c r="V505" s="22">
        <f>ROUND(IF(IFERROR(PROPERTIES[[#This Row],[TE_COEFFICIENT_CALC]],0)=0,PROPERTIES[[#This Row],[TE_COEFFICIENT_MANUAL]],PROPERTIES[[#This Row],[TE_COEFFICIENT_CALC]]),3)</f>
        <v>0.17</v>
      </c>
      <c r="W505" s="10" cm="1">
        <f t="array" ref="W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5" s="32">
        <v>40</v>
      </c>
      <c r="Y505" s="8">
        <v>7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8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9" t="b">
        <v>0</v>
      </c>
      <c r="AY505"/>
      <c r="AZ505"/>
      <c r="BA505"/>
    </row>
    <row r="506" spans="1:53">
      <c r="A506" s="2" t="s">
        <v>527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t="s">
        <v>1710</v>
      </c>
      <c r="F506" t="str">
        <f>_xlfn.XLOOKUP(PROPERTIES[[#This Row],[COUNTRY]],COUNTRIES[COUNTRY_DESCRIPTION],COUNTRIES[COUNTRY_LABEL],"")</f>
        <v>AU</v>
      </c>
      <c r="G506" t="str" cm="1">
        <f t="array" ref="G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6" t="s">
        <v>17</v>
      </c>
      <c r="I506">
        <v>110</v>
      </c>
      <c r="J506">
        <v>8</v>
      </c>
      <c r="K506">
        <v>8</v>
      </c>
      <c r="L506" t="str" cm="1">
        <f t="array" ref="L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6">
        <f>_xlfn.XLOOKUP("LOADINGSPEEDDEF_"&amp;PROPERTIES[[#This Row],[LOADINGSPEED]],LOADINGSPEEDDEF[TYPE],LOADINGSPEEDDEF[SPEED])</f>
        <v>40</v>
      </c>
      <c r="N506" t="str" cm="1">
        <f t="array" ref="N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6">
        <f>IF(ISNUMBER(SEARCH("passenger",PROPERTIES[[#This Row],[CARGODEF]])),1,0)</f>
        <v>1</v>
      </c>
      <c r="P506" s="29">
        <v>51</v>
      </c>
      <c r="Q506">
        <f>INT(16*245)</f>
        <v>3920</v>
      </c>
      <c r="R506">
        <v>130</v>
      </c>
      <c r="S506" s="26">
        <f>110/2</f>
        <v>55</v>
      </c>
      <c r="T506" s="25">
        <f>IFERROR(PROPERTIES[[#This Row],[TE_STARTING_KN]]/(PROPERTIES[[#This Row],[WEIGHT]]*9.81),0)</f>
        <v>0.10993184225780016</v>
      </c>
      <c r="U506" s="25">
        <v>0.25</v>
      </c>
      <c r="V506" s="22">
        <f>ROUND(IF(IFERROR(PROPERTIES[[#This Row],[TE_COEFFICIENT_CALC]],0)=0,PROPERTIES[[#This Row],[TE_COEFFICIENT_MANUAL]],PROPERTIES[[#This Row],[TE_COEFFICIENT_CALC]]),3)</f>
        <v>0.11</v>
      </c>
      <c r="W506" s="10" cm="1">
        <f t="array" ref="W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6" s="32">
        <v>110</v>
      </c>
      <c r="Y506" s="8">
        <v>8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8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9" t="b">
        <v>0</v>
      </c>
      <c r="AY506"/>
      <c r="AZ506"/>
      <c r="BA506"/>
    </row>
    <row r="507" spans="1:53">
      <c r="A507" s="2" t="s">
        <v>528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t="s">
        <v>1756</v>
      </c>
      <c r="F507" t="str">
        <f>_xlfn.XLOOKUP(PROPERTIES[[#This Row],[COUNTRY]],COUNTRIES[COUNTRY_DESCRIPTION],COUNTRIES[COUNTRY_LABEL],"")</f>
        <v>DK</v>
      </c>
      <c r="G507" t="str" cm="1">
        <f t="array" ref="G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7" t="s">
        <v>17</v>
      </c>
      <c r="I507">
        <v>56</v>
      </c>
      <c r="J507">
        <v>8</v>
      </c>
      <c r="K507">
        <v>8</v>
      </c>
      <c r="L507" t="str" cm="1">
        <f t="array" ref="L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7">
        <f>_xlfn.XLOOKUP("LOADINGSPEEDDEF_"&amp;PROPERTIES[[#This Row],[LOADINGSPEED]],LOADINGSPEEDDEF[TYPE],LOADINGSPEEDDEF[SPEED])</f>
        <v>40</v>
      </c>
      <c r="N507" cm="1">
        <f t="array" ref="N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7">
        <f>IF(ISNUMBER(SEARCH("passenger",PROPERTIES[[#This Row],[CARGODEF]])),1,0)</f>
        <v>1</v>
      </c>
      <c r="P507" s="29">
        <v>43</v>
      </c>
      <c r="Q507">
        <v>400</v>
      </c>
      <c r="R507">
        <v>100</v>
      </c>
      <c r="S507" s="26">
        <f>60/2</f>
        <v>30</v>
      </c>
      <c r="T507" s="25">
        <f>IFERROR(PROPERTIES[[#This Row],[TE_STARTING_KN]]/(PROPERTIES[[#This Row],[WEIGHT]]*9.81),0)</f>
        <v>7.1118697105469017E-2</v>
      </c>
      <c r="U507" s="25">
        <v>0.14000000000000001</v>
      </c>
      <c r="V507" s="22">
        <f>ROUND(IF(IFERROR(PROPERTIES[[#This Row],[TE_COEFFICIENT_CALC]],0)=0,PROPERTIES[[#This Row],[TE_COEFFICIENT_MANUAL]],PROPERTIES[[#This Row],[TE_COEFFICIENT_CALC]]),3)</f>
        <v>7.0999999999999994E-2</v>
      </c>
      <c r="W507" s="10" cm="1">
        <f t="array" ref="W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7" s="32">
        <v>56</v>
      </c>
      <c r="Y507" s="8">
        <v>8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8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9" t="b">
        <v>0</v>
      </c>
      <c r="AY507"/>
      <c r="AZ507"/>
      <c r="BA507"/>
    </row>
    <row r="508" spans="1:53">
      <c r="A508" s="2" t="s">
        <v>529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t="s">
        <v>1756</v>
      </c>
      <c r="F508" t="str">
        <f>_xlfn.XLOOKUP(PROPERTIES[[#This Row],[COUNTRY]],COUNTRIES[COUNTRY_DESCRIPTION],COUNTRIES[COUNTRY_LABEL],"")</f>
        <v>DK</v>
      </c>
      <c r="G508" t="str" cm="1">
        <f t="array" ref="G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8" t="s">
        <v>17</v>
      </c>
      <c r="I508">
        <v>90</v>
      </c>
      <c r="J508">
        <v>5</v>
      </c>
      <c r="K508">
        <v>5</v>
      </c>
      <c r="L508" t="str" cm="1">
        <f t="array" ref="L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8">
        <f>_xlfn.XLOOKUP("LOADINGSPEEDDEF_"&amp;PROPERTIES[[#This Row],[LOADINGSPEED]],LOADINGSPEEDDEF[TYPE],LOADINGSPEEDDEF[SPEED])</f>
        <v>40</v>
      </c>
      <c r="N508" t="str" cm="1">
        <f t="array" ref="N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8">
        <f>IF(ISNUMBER(SEARCH("passenger",PROPERTIES[[#This Row],[CARGODEF]])),1,0)</f>
        <v>1</v>
      </c>
      <c r="P508" s="29">
        <f>63/2</f>
        <v>31.5</v>
      </c>
      <c r="Q508">
        <v>1150</v>
      </c>
      <c r="R508">
        <v>120</v>
      </c>
      <c r="S508" s="26">
        <f>75/2</f>
        <v>37.5</v>
      </c>
      <c r="T508" s="25">
        <f>IFERROR(PROPERTIES[[#This Row],[TE_STARTING_KN]]/(PROPERTIES[[#This Row],[WEIGHT]]*9.81),0)</f>
        <v>0.12135333236250666</v>
      </c>
      <c r="U508" s="25">
        <v>0.47</v>
      </c>
      <c r="V508" s="22">
        <f>ROUND(IF(IFERROR(PROPERTIES[[#This Row],[TE_COEFFICIENT_CALC]],0)=0,PROPERTIES[[#This Row],[TE_COEFFICIENT_MANUAL]],PROPERTIES[[#This Row],[TE_COEFFICIENT_CALC]]),3)</f>
        <v>0.121</v>
      </c>
      <c r="W508" s="10" cm="1">
        <f t="array" ref="W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8" s="32">
        <v>90</v>
      </c>
      <c r="Y508" s="8">
        <v>5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8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9" t="b">
        <v>0</v>
      </c>
      <c r="AY508"/>
      <c r="AZ508"/>
      <c r="BA508"/>
    </row>
    <row r="509" spans="1:53">
      <c r="A509" s="2" t="s">
        <v>530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t="s">
        <v>1806</v>
      </c>
      <c r="F509" t="str">
        <f>_xlfn.XLOOKUP(PROPERTIES[[#This Row],[COUNTRY]],COUNTRIES[COUNTRY_DESCRIPTION],COUNTRIES[COUNTRY_LABEL],"")</f>
        <v>IT</v>
      </c>
      <c r="G509" t="str" cm="1">
        <f t="array" ref="G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9" t="s">
        <v>17</v>
      </c>
      <c r="I509">
        <v>34</v>
      </c>
      <c r="J509">
        <v>8</v>
      </c>
      <c r="K509">
        <v>8</v>
      </c>
      <c r="L509" t="str" cm="1">
        <f t="array" ref="L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9">
        <f>_xlfn.XLOOKUP("LOADINGSPEEDDEF_"&amp;PROPERTIES[[#This Row],[LOADINGSPEED]],LOADINGSPEEDDEF[TYPE],LOADINGSPEEDDEF[SPEED])</f>
        <v>40</v>
      </c>
      <c r="N509" cm="1">
        <f t="array" ref="N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9">
        <f>IF(ISNUMBER(SEARCH("passenger",PROPERTIES[[#This Row],[CARGODEF]])),1,0)</f>
        <v>1</v>
      </c>
      <c r="P509" s="29">
        <f>74/2</f>
        <v>37</v>
      </c>
      <c r="Q509">
        <v>650</v>
      </c>
      <c r="R509">
        <v>72</v>
      </c>
      <c r="S509" s="26">
        <f>60/2</f>
        <v>30</v>
      </c>
      <c r="T509" s="25">
        <f>IFERROR(PROPERTIES[[#This Row],[TE_STARTING_KN]]/(PROPERTIES[[#This Row],[WEIGHT]]*9.81),0)</f>
        <v>8.2651458798247784E-2</v>
      </c>
      <c r="U509" s="25">
        <v>0.34</v>
      </c>
      <c r="V509" s="22">
        <f>ROUND(IF(IFERROR(PROPERTIES[[#This Row],[TE_COEFFICIENT_CALC]],0)=0,PROPERTIES[[#This Row],[TE_COEFFICIENT_MANUAL]],PROPERTIES[[#This Row],[TE_COEFFICIENT_CALC]]),3)</f>
        <v>8.3000000000000004E-2</v>
      </c>
      <c r="W509" s="10" cm="1">
        <f t="array" ref="W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09" s="32">
        <v>50</v>
      </c>
      <c r="Y509" s="8">
        <v>8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8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9" t="b">
        <v>0</v>
      </c>
      <c r="AY509"/>
      <c r="AZ509"/>
      <c r="BA509"/>
    </row>
    <row r="510" spans="1:53">
      <c r="A510" s="2" t="s">
        <v>531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t="s">
        <v>1862</v>
      </c>
      <c r="F510" t="str">
        <f>_xlfn.XLOOKUP(PROPERTIES[[#This Row],[COUNTRY]],COUNTRIES[COUNTRY_DESCRIPTION],COUNTRIES[COUNTRY_LABEL],"")</f>
        <v>NL</v>
      </c>
      <c r="G510" t="str" cm="1">
        <f t="array" ref="G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0" t="s">
        <v>17</v>
      </c>
      <c r="I510">
        <v>44</v>
      </c>
      <c r="J510">
        <v>8</v>
      </c>
      <c r="K510">
        <v>8</v>
      </c>
      <c r="L510" t="str" cm="1">
        <f t="array" ref="L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0">
        <f>_xlfn.XLOOKUP("LOADINGSPEEDDEF_"&amp;PROPERTIES[[#This Row],[LOADINGSPEED]],LOADINGSPEEDDEF[TYPE],LOADINGSPEEDDEF[SPEED])</f>
        <v>40</v>
      </c>
      <c r="N510" cm="1">
        <f t="array" ref="N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0">
        <f>IF(ISNUMBER(SEARCH("passenger",PROPERTIES[[#This Row],[CARGODEF]])),1,0)</f>
        <v>1</v>
      </c>
      <c r="P510" s="29">
        <v>55</v>
      </c>
      <c r="Q510">
        <v>888</v>
      </c>
      <c r="R510">
        <v>100</v>
      </c>
      <c r="S510" s="26">
        <f>120/2</f>
        <v>60</v>
      </c>
      <c r="T510" s="25">
        <f>IFERROR(PROPERTIES[[#This Row],[TE_STARTING_KN]]/(PROPERTIES[[#This Row],[WEIGHT]]*9.81),0)</f>
        <v>0.11120378092855156</v>
      </c>
      <c r="U510" s="25">
        <v>0.41</v>
      </c>
      <c r="V510" s="22">
        <f>ROUND(IF(IFERROR(PROPERTIES[[#This Row],[TE_COEFFICIENT_CALC]],0)=0,PROPERTIES[[#This Row],[TE_COEFFICIENT_MANUAL]],PROPERTIES[[#This Row],[TE_COEFFICIENT_CALC]]),3)</f>
        <v>0.111</v>
      </c>
      <c r="W510" s="10" cm="1">
        <f t="array" ref="W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510" s="32">
        <v>88</v>
      </c>
      <c r="Y510" s="8">
        <v>8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8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9" t="b">
        <v>0</v>
      </c>
      <c r="AY510"/>
      <c r="AZ510"/>
      <c r="BA510"/>
    </row>
    <row r="511" spans="1:53">
      <c r="A511" s="2" t="s">
        <v>532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t="s">
        <v>1862</v>
      </c>
      <c r="F511" t="str">
        <f>_xlfn.XLOOKUP(PROPERTIES[[#This Row],[COUNTRY]],COUNTRIES[COUNTRY_DESCRIPTION],COUNTRIES[COUNTRY_LABEL],"")</f>
        <v>NL</v>
      </c>
      <c r="G511" t="str" cm="1">
        <f t="array" ref="G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1" t="s">
        <v>17</v>
      </c>
      <c r="I511">
        <f>144/2</f>
        <v>72</v>
      </c>
      <c r="J511">
        <v>8</v>
      </c>
      <c r="K511">
        <v>8</v>
      </c>
      <c r="L511" t="str" cm="1">
        <f t="array" ref="L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1">
        <f>_xlfn.XLOOKUP("LOADINGSPEEDDEF_"&amp;PROPERTIES[[#This Row],[LOADINGSPEED]],LOADINGSPEEDDEF[TYPE],LOADINGSPEEDDEF[SPEED])</f>
        <v>40</v>
      </c>
      <c r="N511" cm="1">
        <f t="array" ref="N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1">
        <f>IF(ISNUMBER(SEARCH("passenger",PROPERTIES[[#This Row],[CARGODEF]])),1,0)</f>
        <v>1</v>
      </c>
      <c r="P511" s="29">
        <f>85/2</f>
        <v>42.5</v>
      </c>
      <c r="Q511">
        <v>1032</v>
      </c>
      <c r="R511">
        <v>125</v>
      </c>
      <c r="S511" s="26">
        <f>85/2</f>
        <v>42.5</v>
      </c>
      <c r="T511" s="25">
        <f>IFERROR(PROPERTIES[[#This Row],[TE_STARTING_KN]]/(PROPERTIES[[#This Row],[WEIGHT]]*9.81),0)</f>
        <v>0.1019367991845056</v>
      </c>
      <c r="U511" s="25">
        <v>0.38</v>
      </c>
      <c r="V511" s="22">
        <f>ROUND(IF(IFERROR(PROPERTIES[[#This Row],[TE_COEFFICIENT_CALC]],0)=0,PROPERTIES[[#This Row],[TE_COEFFICIENT_MANUAL]],PROPERTIES[[#This Row],[TE_COEFFICIENT_CALC]]),3)</f>
        <v>0.10199999999999999</v>
      </c>
      <c r="W511" s="10" cm="1">
        <f t="array" ref="W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11" s="32">
        <v>72</v>
      </c>
      <c r="Y511" s="8">
        <v>8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8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9" t="b">
        <v>0</v>
      </c>
      <c r="AY511"/>
      <c r="AZ511"/>
      <c r="BA511"/>
    </row>
    <row r="512" spans="1:53">
      <c r="A512" s="2" t="s">
        <v>533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t="s">
        <v>1862</v>
      </c>
      <c r="F512" t="str">
        <f>_xlfn.XLOOKUP(PROPERTIES[[#This Row],[COUNTRY]],COUNTRIES[COUNTRY_DESCRIPTION],COUNTRIES[COUNTRY_LABEL],"")</f>
        <v>NL</v>
      </c>
      <c r="G512" t="str" cm="1">
        <f t="array" ref="G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2" t="s">
        <v>17</v>
      </c>
      <c r="I512">
        <f>INT(113/2)</f>
        <v>56</v>
      </c>
      <c r="J512">
        <v>8</v>
      </c>
      <c r="K512">
        <v>8</v>
      </c>
      <c r="L512" t="str" cm="1">
        <f t="array" ref="L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2">
        <f>_xlfn.XLOOKUP("LOADINGSPEEDDEF_"&amp;PROPERTIES[[#This Row],[LOADINGSPEED]],LOADINGSPEEDDEF[TYPE],LOADINGSPEEDDEF[SPEED])</f>
        <v>40</v>
      </c>
      <c r="N512" cm="1">
        <f t="array" ref="N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2">
        <f>IF(ISNUMBER(SEARCH("passenger",PROPERTIES[[#This Row],[CARGODEF]])),1,0)</f>
        <v>1</v>
      </c>
      <c r="P512" s="29">
        <f>109/2</f>
        <v>54.5</v>
      </c>
      <c r="Q512">
        <v>910</v>
      </c>
      <c r="R512">
        <v>140</v>
      </c>
      <c r="S512" s="26">
        <f>110/2</f>
        <v>55</v>
      </c>
      <c r="T512" s="25">
        <f>IFERROR(PROPERTIES[[#This Row],[TE_STARTING_KN]]/(PROPERTIES[[#This Row],[WEIGHT]]*9.81),0)</f>
        <v>0.10287199917702401</v>
      </c>
      <c r="U512" s="25">
        <v>0.28000000000000003</v>
      </c>
      <c r="V512" s="22">
        <f>ROUND(IF(IFERROR(PROPERTIES[[#This Row],[TE_COEFFICIENT_CALC]],0)=0,PROPERTIES[[#This Row],[TE_COEFFICIENT_MANUAL]],PROPERTIES[[#This Row],[TE_COEFFICIENT_CALC]]),3)</f>
        <v>0.10299999999999999</v>
      </c>
      <c r="W512" s="10" cm="1">
        <f t="array" ref="W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2" s="32">
        <v>56</v>
      </c>
      <c r="Y512" s="8">
        <v>8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8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9" t="b">
        <v>0</v>
      </c>
      <c r="AY512"/>
      <c r="AZ512"/>
      <c r="BA512"/>
    </row>
    <row r="513" spans="1:53">
      <c r="A513" s="2" t="s">
        <v>534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t="s">
        <v>1862</v>
      </c>
      <c r="F513" t="str">
        <f>_xlfn.XLOOKUP(PROPERTIES[[#This Row],[COUNTRY]],COUNTRIES[COUNTRY_DESCRIPTION],COUNTRIES[COUNTRY_LABEL],"")</f>
        <v>NL</v>
      </c>
      <c r="G513" t="str" cm="1">
        <f t="array" ref="G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3" t="s">
        <v>17</v>
      </c>
      <c r="I513">
        <v>77</v>
      </c>
      <c r="J513">
        <v>8</v>
      </c>
      <c r="K513">
        <v>8</v>
      </c>
      <c r="L513" t="str" cm="1">
        <f t="array" ref="L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3">
        <f>_xlfn.XLOOKUP("LOADINGSPEEDDEF_"&amp;PROPERTIES[[#This Row],[LOADINGSPEED]],LOADINGSPEEDDEF[TYPE],LOADINGSPEEDDEF[SPEED])</f>
        <v>40</v>
      </c>
      <c r="N513" cm="1">
        <f t="array" ref="N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3">
        <f>IF(ISNUMBER(SEARCH("passenger",PROPERTIES[[#This Row],[CARGODEF]])),1,0)</f>
        <v>1</v>
      </c>
      <c r="P513" s="29">
        <v>53</v>
      </c>
      <c r="Q513">
        <v>1720</v>
      </c>
      <c r="R513">
        <v>125</v>
      </c>
      <c r="S513" s="26">
        <f>160/2</f>
        <v>80</v>
      </c>
      <c r="T513" s="25">
        <f>IFERROR(PROPERTIES[[#This Row],[TE_STARTING_KN]]/(PROPERTIES[[#This Row],[WEIGHT]]*9.81),0)</f>
        <v>0.15386686669359334</v>
      </c>
      <c r="U513" s="25">
        <v>0.19</v>
      </c>
      <c r="V513" s="22">
        <f>ROUND(IF(IFERROR(PROPERTIES[[#This Row],[TE_COEFFICIENT_CALC]],0)=0,PROPERTIES[[#This Row],[TE_COEFFICIENT_MANUAL]],PROPERTIES[[#This Row],[TE_COEFFICIENT_CALC]]),3)</f>
        <v>0.154</v>
      </c>
      <c r="W513" s="10" cm="1">
        <f t="array" ref="W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13" s="32">
        <v>77</v>
      </c>
      <c r="Y513" s="8">
        <v>8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8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9" t="b">
        <v>0</v>
      </c>
      <c r="AY513"/>
      <c r="AZ513"/>
      <c r="BA513"/>
    </row>
    <row r="514" spans="1:53">
      <c r="A514" s="2" t="s">
        <v>535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t="s">
        <v>1862</v>
      </c>
      <c r="F514" t="str">
        <f>_xlfn.XLOOKUP(PROPERTIES[[#This Row],[COUNTRY]],COUNTRIES[COUNTRY_DESCRIPTION],COUNTRIES[COUNTRY_LABEL],"")</f>
        <v>NL</v>
      </c>
      <c r="G514" t="str" cm="1">
        <f t="array" ref="G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4" t="s">
        <v>17</v>
      </c>
      <c r="I514">
        <f>INT(205/2)</f>
        <v>102</v>
      </c>
      <c r="J514">
        <v>8</v>
      </c>
      <c r="K514">
        <v>8</v>
      </c>
      <c r="L514" t="str" cm="1">
        <f t="array" ref="L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4">
        <f>_xlfn.XLOOKUP("LOADINGSPEEDDEF_"&amp;PROPERTIES[[#This Row],[LOADINGSPEED]],LOADINGSPEEDDEF[TYPE],LOADINGSPEEDDEF[SPEED])</f>
        <v>40</v>
      </c>
      <c r="N514" cm="1">
        <f t="array" ref="N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4">
        <f>IF(ISNUMBER(SEARCH("passenger",PROPERTIES[[#This Row],[CARGODEF]])),1,0)</f>
        <v>1</v>
      </c>
      <c r="P514" s="29">
        <f>144/2</f>
        <v>72</v>
      </c>
      <c r="Q514">
        <v>1720</v>
      </c>
      <c r="R514">
        <v>140</v>
      </c>
      <c r="S514" s="26">
        <f>100/2</f>
        <v>50</v>
      </c>
      <c r="T514" s="25">
        <f>IFERROR(PROPERTIES[[#This Row],[TE_STARTING_KN]]/(PROPERTIES[[#This Row],[WEIGHT]]*9.81),0)</f>
        <v>7.0789443878128883E-2</v>
      </c>
      <c r="U514" s="25">
        <v>0.48</v>
      </c>
      <c r="V514" s="22">
        <f>ROUND(IF(IFERROR(PROPERTIES[[#This Row],[TE_COEFFICIENT_CALC]],0)=0,PROPERTIES[[#This Row],[TE_COEFFICIENT_MANUAL]],PROPERTIES[[#This Row],[TE_COEFFICIENT_CALC]]),3)</f>
        <v>7.0999999999999994E-2</v>
      </c>
      <c r="W514" s="10" cm="1">
        <f t="array" ref="W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4" s="32">
        <f>INT(205/2)</f>
        <v>102</v>
      </c>
      <c r="Y514" s="8">
        <v>8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8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9" t="b">
        <v>0</v>
      </c>
      <c r="AY514"/>
      <c r="AZ514"/>
      <c r="BA514"/>
    </row>
    <row r="515" spans="1:53">
      <c r="A515" s="2" t="s">
        <v>536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t="s">
        <v>1862</v>
      </c>
      <c r="F515" t="str">
        <f>_xlfn.XLOOKUP(PROPERTIES[[#This Row],[COUNTRY]],COUNTRIES[COUNTRY_DESCRIPTION],COUNTRIES[COUNTRY_LABEL],"")</f>
        <v>NL</v>
      </c>
      <c r="G515" t="str" cm="1">
        <f t="array" ref="G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5" t="s">
        <v>17</v>
      </c>
      <c r="I515">
        <f>INT((129+442)/6)</f>
        <v>95</v>
      </c>
      <c r="J515">
        <v>8</v>
      </c>
      <c r="K515">
        <v>8</v>
      </c>
      <c r="L515" t="str" cm="1">
        <f t="array" ref="L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5">
        <f>_xlfn.XLOOKUP("LOADINGSPEEDDEF_"&amp;PROPERTIES[[#This Row],[LOADINGSPEED]],LOADINGSPEEDDEF[TYPE],LOADINGSPEEDDEF[SPEED])</f>
        <v>40</v>
      </c>
      <c r="N515" t="str" cm="1">
        <f t="array" ref="N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5">
        <f>IF(ISNUMBER(SEARCH("passenger",PROPERTIES[[#This Row],[CARGODEF]])),1,0)</f>
        <v>1</v>
      </c>
      <c r="P515" s="29">
        <f>104/2</f>
        <v>52</v>
      </c>
      <c r="Q515">
        <v>1720</v>
      </c>
      <c r="R515">
        <v>140</v>
      </c>
      <c r="S515" s="26">
        <f>105/2</f>
        <v>52.5</v>
      </c>
      <c r="T515" s="25">
        <f>IFERROR(PROPERTIES[[#This Row],[TE_STARTING_KN]]/(PROPERTIES[[#This Row],[WEIGHT]]*9.81),0)</f>
        <v>0.10291696071512585</v>
      </c>
      <c r="U515" s="25">
        <v>0.26</v>
      </c>
      <c r="V515" s="22">
        <f>ROUND(IF(IFERROR(PROPERTIES[[#This Row],[TE_COEFFICIENT_CALC]],0)=0,PROPERTIES[[#This Row],[TE_COEFFICIENT_MANUAL]],PROPERTIES[[#This Row],[TE_COEFFICIENT_CALC]]),3)</f>
        <v>0.10299999999999999</v>
      </c>
      <c r="W515" s="10" cm="1">
        <f t="array" ref="W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5" s="41">
        <f>INT((129+442)/6)</f>
        <v>95</v>
      </c>
      <c r="Y515" s="8">
        <v>8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8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9" t="b">
        <v>0</v>
      </c>
      <c r="AY515"/>
      <c r="AZ515"/>
      <c r="BA515"/>
    </row>
    <row r="516" spans="1:53">
      <c r="A516" s="2" t="s">
        <v>537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t="s">
        <v>1862</v>
      </c>
      <c r="F516" t="str">
        <f>_xlfn.XLOOKUP(PROPERTIES[[#This Row],[COUNTRY]],COUNTRIES[COUNTRY_DESCRIPTION],COUNTRIES[COUNTRY_LABEL],"")</f>
        <v>NL</v>
      </c>
      <c r="G516" t="str" cm="1">
        <f t="array" ref="G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6" t="s">
        <v>17</v>
      </c>
      <c r="I516">
        <v>64</v>
      </c>
      <c r="J516">
        <v>8</v>
      </c>
      <c r="K516">
        <v>8</v>
      </c>
      <c r="L516" t="str" cm="1">
        <f t="array" ref="L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6">
        <f>_xlfn.XLOOKUP("LOADINGSPEEDDEF_"&amp;PROPERTIES[[#This Row],[LOADINGSPEED]],LOADINGSPEEDDEF[TYPE],LOADINGSPEEDDEF[SPEED])</f>
        <v>40</v>
      </c>
      <c r="N516" t="str" cm="1">
        <f t="array" ref="N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6">
        <f>IF(ISNUMBER(SEARCH("passenger",PROPERTIES[[#This Row],[CARGODEF]])),1,0)</f>
        <v>1</v>
      </c>
      <c r="P516" s="29">
        <f>84/2</f>
        <v>42</v>
      </c>
      <c r="Q516">
        <v>3219</v>
      </c>
      <c r="R516">
        <v>160</v>
      </c>
      <c r="S516" s="26">
        <f>200/2</f>
        <v>100</v>
      </c>
      <c r="T516" s="25">
        <f>IFERROR(PROPERTIES[[#This Row],[TE_STARTING_KN]]/(PROPERTIES[[#This Row],[WEIGHT]]*9.81),0)</f>
        <v>0.24270666472501332</v>
      </c>
      <c r="U516" s="25">
        <v>0.31</v>
      </c>
      <c r="V516" s="22">
        <f>ROUND(IF(IFERROR(PROPERTIES[[#This Row],[TE_COEFFICIENT_CALC]],0)=0,PROPERTIES[[#This Row],[TE_COEFFICIENT_MANUAL]],PROPERTIES[[#This Row],[TE_COEFFICIENT_CALC]]),3)</f>
        <v>0.24299999999999999</v>
      </c>
      <c r="W516" s="10" cm="1">
        <f t="array" ref="W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6" s="32">
        <v>140</v>
      </c>
      <c r="Y516" s="8">
        <v>8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8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9" t="b">
        <v>0</v>
      </c>
      <c r="AY516"/>
      <c r="AZ516"/>
      <c r="BA516"/>
    </row>
    <row r="517" spans="1:53">
      <c r="A517" s="2" t="s">
        <v>538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t="s">
        <v>1875</v>
      </c>
      <c r="F517" t="str">
        <f>_xlfn.XLOOKUP(PROPERTIES[[#This Row],[COUNTRY]],COUNTRIES[COUNTRY_DESCRIPTION],COUNTRIES[COUNTRY_LABEL],"")</f>
        <v>PL</v>
      </c>
      <c r="G517" t="str" cm="1">
        <f t="array" ref="G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7" t="s">
        <v>17</v>
      </c>
      <c r="I517">
        <f>INT(119/2)</f>
        <v>59</v>
      </c>
      <c r="J517">
        <v>8</v>
      </c>
      <c r="K517">
        <v>8</v>
      </c>
      <c r="L517" t="str" cm="1">
        <f t="array" ref="L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7">
        <f>_xlfn.XLOOKUP("LOADINGSPEEDDEF_"&amp;PROPERTIES[[#This Row],[LOADINGSPEED]],LOADINGSPEEDDEF[TYPE],LOADINGSPEEDDEF[SPEED])</f>
        <v>40</v>
      </c>
      <c r="N517" cm="1">
        <f t="array" ref="N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7">
        <f>IF(ISNUMBER(SEARCH("passenger",PROPERTIES[[#This Row],[CARGODEF]])),1,0)</f>
        <v>1</v>
      </c>
      <c r="P517" s="29">
        <v>38</v>
      </c>
      <c r="Q517">
        <v>413</v>
      </c>
      <c r="R517">
        <v>80</v>
      </c>
      <c r="S517" s="26">
        <f>80/2</f>
        <v>40</v>
      </c>
      <c r="T517" s="25">
        <f>IFERROR(PROPERTIES[[#This Row],[TE_STARTING_KN]]/(PROPERTIES[[#This Row],[WEIGHT]]*9.81),0)</f>
        <v>0.10730189387842695</v>
      </c>
      <c r="U517" s="25">
        <v>0.11</v>
      </c>
      <c r="V517" s="22">
        <f>ROUND(IF(IFERROR(PROPERTIES[[#This Row],[TE_COEFFICIENT_CALC]],0)=0,PROPERTIES[[#This Row],[TE_COEFFICIENT_MANUAL]],PROPERTIES[[#This Row],[TE_COEFFICIENT_CALC]]),3)</f>
        <v>0.107</v>
      </c>
      <c r="W517" s="10" cm="1">
        <f t="array" ref="W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517" s="32">
        <f>INT(119/2)</f>
        <v>59</v>
      </c>
      <c r="Y517" s="8">
        <v>8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8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9" t="b">
        <v>0</v>
      </c>
      <c r="AY517"/>
      <c r="AZ517"/>
      <c r="BA517"/>
    </row>
    <row r="518" spans="1:53">
      <c r="A518" s="2" t="s">
        <v>539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t="s">
        <v>1806</v>
      </c>
      <c r="F518" t="str">
        <f>_xlfn.XLOOKUP(PROPERTIES[[#This Row],[COUNTRY]],COUNTRIES[COUNTRY_DESCRIPTION],COUNTRIES[COUNTRY_LABEL],"")</f>
        <v>IT</v>
      </c>
      <c r="G518" t="str" cm="1">
        <f t="array" ref="G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8" t="s">
        <v>17</v>
      </c>
      <c r="I518">
        <f>INT(104/2)</f>
        <v>52</v>
      </c>
      <c r="J518">
        <v>8</v>
      </c>
      <c r="K518">
        <v>8</v>
      </c>
      <c r="L518" t="str" cm="1">
        <f t="array" ref="L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8">
        <f>_xlfn.XLOOKUP("LOADINGSPEEDDEF_"&amp;PROPERTIES[[#This Row],[LOADINGSPEED]],LOADINGSPEEDDEF[TYPE],LOADINGSPEEDDEF[SPEED])</f>
        <v>40</v>
      </c>
      <c r="N518" cm="1">
        <f t="array" ref="N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8">
        <f>IF(ISNUMBER(SEARCH("passenger",PROPERTIES[[#This Row],[CARGODEF]])),1,0)</f>
        <v>1</v>
      </c>
      <c r="P518" s="29">
        <f>116.8/3</f>
        <v>38.93333333333333</v>
      </c>
      <c r="Q518">
        <f>INT(1408*2/3)</f>
        <v>938</v>
      </c>
      <c r="R518">
        <v>160</v>
      </c>
      <c r="S518" s="26">
        <f>50/2</f>
        <v>25</v>
      </c>
      <c r="T518" s="25">
        <f>IFERROR(PROPERTIES[[#This Row],[TE_STARTING_KN]]/(PROPERTIES[[#This Row],[WEIGHT]]*9.81),0)</f>
        <v>6.5455992627036996E-2</v>
      </c>
      <c r="U518" s="25">
        <v>0.18</v>
      </c>
      <c r="V518" s="22">
        <f>ROUND(IF(IFERROR(PROPERTIES[[#This Row],[TE_COEFFICIENT_CALC]],0)=0,PROPERTIES[[#This Row],[TE_COEFFICIENT_MANUAL]],PROPERTIES[[#This Row],[TE_COEFFICIENT_CALC]]),3)</f>
        <v>6.5000000000000002E-2</v>
      </c>
      <c r="W518" s="10" cm="1">
        <f t="array" ref="W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18" s="32">
        <f>INT(104/2)</f>
        <v>52</v>
      </c>
      <c r="Y518" s="8">
        <v>8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8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9" t="b">
        <v>0</v>
      </c>
      <c r="AY518"/>
      <c r="AZ518"/>
      <c r="BA518"/>
    </row>
    <row r="519" spans="1:53">
      <c r="A519" s="2" t="s">
        <v>540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t="s">
        <v>1806</v>
      </c>
      <c r="F519" t="str">
        <f>_xlfn.XLOOKUP(PROPERTIES[[#This Row],[COUNTRY]],COUNTRIES[COUNTRY_DESCRIPTION],COUNTRIES[COUNTRY_LABEL],"")</f>
        <v>IT</v>
      </c>
      <c r="G519" t="str" cm="1">
        <f t="array" ref="G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9" t="s">
        <v>17</v>
      </c>
      <c r="I519">
        <f>INT(190/7)</f>
        <v>27</v>
      </c>
      <c r="J519">
        <v>8</v>
      </c>
      <c r="K519">
        <v>8</v>
      </c>
      <c r="L519" t="str" cm="1">
        <f t="array" ref="L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19">
        <f>_xlfn.XLOOKUP("LOADINGSPEEDDEF_"&amp;PROPERTIES[[#This Row],[LOADINGSPEED]],LOADINGSPEEDDEF[TYPE],LOADINGSPEEDDEF[SPEED])</f>
        <v>16</v>
      </c>
      <c r="N519" cm="1">
        <f t="array" ref="N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9">
        <f>IF(ISNUMBER(SEARCH("passenger",PROPERTIES[[#This Row],[CARGODEF]])),1,0)</f>
        <v>1</v>
      </c>
      <c r="P519" s="29">
        <f>311/7</f>
        <v>44.428571428571431</v>
      </c>
      <c r="Q519">
        <v>1020</v>
      </c>
      <c r="R519">
        <v>200</v>
      </c>
      <c r="S519" s="26">
        <f>70/2</f>
        <v>35</v>
      </c>
      <c r="T519" s="25">
        <f>IFERROR(PROPERTIES[[#This Row],[TE_STARTING_KN]]/(PROPERTIES[[#This Row],[WEIGHT]]*9.81),0)</f>
        <v>8.0303909325414369E-2</v>
      </c>
      <c r="U519" s="25">
        <v>0.36</v>
      </c>
      <c r="V519" s="22">
        <f>ROUND(IF(IFERROR(PROPERTIES[[#This Row],[TE_COEFFICIENT_CALC]],0)=0,PROPERTIES[[#This Row],[TE_COEFFICIENT_MANUAL]],PROPERTIES[[#This Row],[TE_COEFFICIENT_CALC]]),3)</f>
        <v>0.08</v>
      </c>
      <c r="W519" s="10" cm="1">
        <f t="array" ref="W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9" s="32">
        <f>INT(190/7)</f>
        <v>27</v>
      </c>
      <c r="Y519" s="8">
        <v>8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8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9" t="b">
        <v>0</v>
      </c>
      <c r="AY519"/>
      <c r="AZ519"/>
      <c r="BA519"/>
    </row>
    <row r="520" spans="1:53">
      <c r="A520" s="2" t="s">
        <v>541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t="s">
        <v>1806</v>
      </c>
      <c r="F520" t="str">
        <f>_xlfn.XLOOKUP(PROPERTIES[[#This Row],[COUNTRY]],COUNTRIES[COUNTRY_DESCRIPTION],COUNTRIES[COUNTRY_LABEL],"")</f>
        <v>IT</v>
      </c>
      <c r="G520" t="str" cm="1">
        <f t="array" ref="G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0" t="s">
        <v>17</v>
      </c>
      <c r="I520">
        <v>0</v>
      </c>
      <c r="J520">
        <v>8</v>
      </c>
      <c r="K520">
        <v>8</v>
      </c>
      <c r="L520" t="str" cm="1">
        <f t="array" ref="L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0">
        <f>_xlfn.XLOOKUP("LOADINGSPEEDDEF_"&amp;PROPERTIES[[#This Row],[LOADINGSPEED]],LOADINGSPEEDDEF[TYPE],LOADINGSPEEDDEF[SPEED])</f>
        <v>16</v>
      </c>
      <c r="N520" t="str" cm="1">
        <f t="array" ref="N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0">
        <f>IF(ISNUMBER(SEARCH("passenger",PROPERTIES[[#This Row],[CARGODEF]])),1,0)</f>
        <v>1</v>
      </c>
      <c r="P520" s="29">
        <v>54</v>
      </c>
      <c r="Q520">
        <v>11800</v>
      </c>
      <c r="R520">
        <v>250</v>
      </c>
      <c r="S520" s="26">
        <f>400/2</f>
        <v>200</v>
      </c>
      <c r="T520" s="25">
        <f>IFERROR(PROPERTIES[[#This Row],[TE_STARTING_KN]]/(PROPERTIES[[#This Row],[WEIGHT]]*9.81),0)</f>
        <v>0.37754370068335408</v>
      </c>
      <c r="U520" s="25">
        <v>0.46</v>
      </c>
      <c r="V520" s="22">
        <f>ROUND(IF(IFERROR(PROPERTIES[[#This Row],[TE_COEFFICIENT_CALC]],0)=0,PROPERTIES[[#This Row],[TE_COEFFICIENT_MANUAL]],PROPERTIES[[#This Row],[TE_COEFFICIENT_CALC]]),3)</f>
        <v>0.378</v>
      </c>
      <c r="W520" s="10" cm="1">
        <f t="array" ref="W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0" s="32">
        <v>68</v>
      </c>
      <c r="Y520" s="8">
        <v>8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8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9" t="b">
        <v>0</v>
      </c>
      <c r="AY520"/>
      <c r="AZ520"/>
      <c r="BA520"/>
    </row>
    <row r="521" spans="1:53">
      <c r="A521" s="2" t="s">
        <v>542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t="s">
        <v>1806</v>
      </c>
      <c r="F521" t="str">
        <f>_xlfn.XLOOKUP(PROPERTIES[[#This Row],[COUNTRY]],COUNTRIES[COUNTRY_DESCRIPTION],COUNTRIES[COUNTRY_LABEL],"")</f>
        <v>IT</v>
      </c>
      <c r="G521" t="str" cm="1">
        <f t="array" ref="G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1" t="s">
        <v>17</v>
      </c>
      <c r="I521">
        <v>102</v>
      </c>
      <c r="J521">
        <v>8</v>
      </c>
      <c r="K521">
        <v>8</v>
      </c>
      <c r="L521" t="str" cm="1">
        <f t="array" ref="L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1">
        <f>_xlfn.XLOOKUP("LOADINGSPEEDDEF_"&amp;PROPERTIES[[#This Row],[LOADINGSPEED]],LOADINGSPEEDDEF[TYPE],LOADINGSPEEDDEF[SPEED])</f>
        <v>40</v>
      </c>
      <c r="N521" t="str" cm="1">
        <f t="array" ref="N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1">
        <f>IF(ISNUMBER(SEARCH("passenger",PROPERTIES[[#This Row],[CARGODEF]])),1,0)</f>
        <v>1</v>
      </c>
      <c r="P521" s="29">
        <v>68</v>
      </c>
      <c r="Q521">
        <v>2508</v>
      </c>
      <c r="R521">
        <v>140</v>
      </c>
      <c r="S521" s="26">
        <f>214/2</f>
        <v>107</v>
      </c>
      <c r="T521" s="25">
        <f>IFERROR(PROPERTIES[[#This Row],[TE_STARTING_KN]]/(PROPERTIES[[#This Row],[WEIGHT]]*9.81),0)</f>
        <v>0.16040055165797204</v>
      </c>
      <c r="U521" s="25">
        <v>0.31</v>
      </c>
      <c r="V521" s="22">
        <f>ROUND(IF(IFERROR(PROPERTIES[[#This Row],[TE_COEFFICIENT_CALC]],0)=0,PROPERTIES[[#This Row],[TE_COEFFICIENT_MANUAL]],PROPERTIES[[#This Row],[TE_COEFFICIENT_CALC]]),3)</f>
        <v>0.16</v>
      </c>
      <c r="W521" s="10" cm="1">
        <f t="array" ref="W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1" s="32">
        <v>130</v>
      </c>
      <c r="Y521" s="8">
        <v>8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8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9" t="b">
        <v>0</v>
      </c>
      <c r="AY521"/>
      <c r="AZ521"/>
      <c r="BA521"/>
    </row>
    <row r="522" spans="1:53">
      <c r="A522" s="2" t="s">
        <v>543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t="s">
        <v>1833</v>
      </c>
      <c r="F522" t="str">
        <f>_xlfn.XLOOKUP(PROPERTIES[[#This Row],[COUNTRY]],COUNTRIES[COUNTRY_DESCRIPTION],COUNTRIES[COUNTRY_LABEL],"")</f>
        <v>MA</v>
      </c>
      <c r="G522" t="str" cm="1">
        <f t="array" ref="G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2" t="s">
        <v>17</v>
      </c>
      <c r="I522">
        <v>90</v>
      </c>
      <c r="J522">
        <v>8</v>
      </c>
      <c r="K522">
        <v>8</v>
      </c>
      <c r="L522" t="str" cm="1">
        <f t="array" ref="L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2">
        <f>_xlfn.XLOOKUP("LOADINGSPEEDDEF_"&amp;PROPERTIES[[#This Row],[LOADINGSPEED]],LOADINGSPEEDDEF[TYPE],LOADINGSPEEDDEF[SPEED])</f>
        <v>40</v>
      </c>
      <c r="N522" t="str" cm="1">
        <f t="array" ref="N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2">
        <f>IF(ISNUMBER(SEARCH("passenger",PROPERTIES[[#This Row],[CARGODEF]])),1,0)</f>
        <v>1</v>
      </c>
      <c r="P522" s="29">
        <v>48</v>
      </c>
      <c r="Q522">
        <v>1900</v>
      </c>
      <c r="R522">
        <v>160</v>
      </c>
      <c r="S522" s="26">
        <f>102/2</f>
        <v>51</v>
      </c>
      <c r="T522" s="25">
        <f>IFERROR(PROPERTIES[[#This Row],[TE_STARTING_KN]]/(PROPERTIES[[#This Row],[WEIGHT]]*9.81),0)</f>
        <v>0.10830784913353721</v>
      </c>
      <c r="U522" s="25">
        <v>0.21</v>
      </c>
      <c r="V522" s="22">
        <f>ROUND(IF(IFERROR(PROPERTIES[[#This Row],[TE_COEFFICIENT_CALC]],0)=0,PROPERTIES[[#This Row],[TE_COEFFICIENT_MANUAL]],PROPERTIES[[#This Row],[TE_COEFFICIENT_CALC]]),3)</f>
        <v>0.108</v>
      </c>
      <c r="W522" s="10" cm="1">
        <f t="array" ref="W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22" s="32">
        <v>90</v>
      </c>
      <c r="Y522" s="8">
        <v>8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8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9" t="b">
        <v>0</v>
      </c>
      <c r="AY522"/>
      <c r="AZ522"/>
      <c r="BA522"/>
    </row>
    <row r="523" spans="1:53">
      <c r="A523" s="2" t="s">
        <v>544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t="s">
        <v>1875</v>
      </c>
      <c r="F523" t="str">
        <f>_xlfn.XLOOKUP(PROPERTIES[[#This Row],[COUNTRY]],COUNTRIES[COUNTRY_DESCRIPTION],COUNTRIES[COUNTRY_LABEL],"")</f>
        <v>PL</v>
      </c>
      <c r="G523" t="str" cm="1">
        <f t="array" ref="G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3" t="s">
        <v>17</v>
      </c>
      <c r="I523">
        <f>INT(530/3)</f>
        <v>176</v>
      </c>
      <c r="J523">
        <v>8</v>
      </c>
      <c r="K523">
        <v>8</v>
      </c>
      <c r="L523" t="str" cm="1">
        <f t="array" ref="L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3">
        <f>_xlfn.XLOOKUP("LOADINGSPEEDDEF_"&amp;PROPERTIES[[#This Row],[LOADINGSPEED]],LOADINGSPEEDDEF[TYPE],LOADINGSPEEDDEF[SPEED])</f>
        <v>40</v>
      </c>
      <c r="N523" cm="1">
        <f t="array" ref="N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3">
        <f>IF(ISNUMBER(SEARCH("passenger",PROPERTIES[[#This Row],[CARGODEF]])),1,0)</f>
        <v>1</v>
      </c>
      <c r="P523" s="29">
        <v>40</v>
      </c>
      <c r="Q523">
        <v>642</v>
      </c>
      <c r="R523">
        <v>100</v>
      </c>
      <c r="S523" s="26">
        <f>92/2</f>
        <v>46</v>
      </c>
      <c r="T523" s="25">
        <f>IFERROR(PROPERTIES[[#This Row],[TE_STARTING_KN]]/(PROPERTIES[[#This Row],[WEIGHT]]*9.81),0)</f>
        <v>0.11722731906218144</v>
      </c>
      <c r="U523" s="25">
        <v>0.25</v>
      </c>
      <c r="V523" s="22">
        <f>ROUND(IF(IFERROR(PROPERTIES[[#This Row],[TE_COEFFICIENT_CALC]],0)=0,PROPERTIES[[#This Row],[TE_COEFFICIENT_MANUAL]],PROPERTIES[[#This Row],[TE_COEFFICIENT_CALC]]),3)</f>
        <v>0.11700000000000001</v>
      </c>
      <c r="W523" s="10" cm="1">
        <f t="array" ref="W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3" s="32">
        <f>INT(530/3)</f>
        <v>176</v>
      </c>
      <c r="Y523" s="8">
        <v>8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8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9" t="b">
        <v>0</v>
      </c>
      <c r="AY523"/>
      <c r="AZ523"/>
      <c r="BA523"/>
    </row>
    <row r="524" spans="1:53">
      <c r="A524" s="2" t="s">
        <v>545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t="s">
        <v>1806</v>
      </c>
      <c r="F524" t="str">
        <f>_xlfn.XLOOKUP(PROPERTIES[[#This Row],[COUNTRY]],COUNTRIES[COUNTRY_DESCRIPTION],COUNTRIES[COUNTRY_LABEL],"")</f>
        <v>IT</v>
      </c>
      <c r="G524" t="str" cm="1">
        <f t="array" ref="G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4" t="s">
        <v>17</v>
      </c>
      <c r="I524">
        <v>80</v>
      </c>
      <c r="J524">
        <v>7</v>
      </c>
      <c r="K524">
        <v>7</v>
      </c>
      <c r="L524" t="str" cm="1">
        <f t="array" ref="L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4">
        <f>_xlfn.XLOOKUP("LOADINGSPEEDDEF_"&amp;PROPERTIES[[#This Row],[LOADINGSPEED]],LOADINGSPEEDDEF[TYPE],LOADINGSPEEDDEF[SPEED])</f>
        <v>40</v>
      </c>
      <c r="N524" cm="1">
        <f t="array" ref="N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4">
        <f>IF(ISNUMBER(SEARCH("passenger",PROPERTIES[[#This Row],[CARGODEF]])),1,0)</f>
        <v>1</v>
      </c>
      <c r="P524" s="29">
        <v>70</v>
      </c>
      <c r="Q524">
        <v>702</v>
      </c>
      <c r="R524">
        <v>150</v>
      </c>
      <c r="S524" s="26">
        <f>110/2</f>
        <v>55</v>
      </c>
      <c r="T524" s="25">
        <f>IFERROR(PROPERTIES[[#This Row],[TE_STARTING_KN]]/(PROPERTIES[[#This Row],[WEIGHT]]*9.81),0)</f>
        <v>8.0093199359254394E-2</v>
      </c>
      <c r="U524" s="25">
        <v>0.15</v>
      </c>
      <c r="V524" s="22">
        <f>ROUND(IF(IFERROR(PROPERTIES[[#This Row],[TE_COEFFICIENT_CALC]],0)=0,PROPERTIES[[#This Row],[TE_COEFFICIENT_MANUAL]],PROPERTIES[[#This Row],[TE_COEFFICIENT_CALC]]),3)</f>
        <v>0.08</v>
      </c>
      <c r="W524" s="10" cm="1">
        <f t="array" ref="W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24" s="32">
        <v>108</v>
      </c>
      <c r="Y524" s="8">
        <v>7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8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9" t="b">
        <v>0</v>
      </c>
      <c r="AY524"/>
      <c r="AZ524"/>
      <c r="BA524"/>
    </row>
    <row r="525" spans="1:53">
      <c r="A525" s="2" t="s">
        <v>546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t="s">
        <v>1709</v>
      </c>
      <c r="F525" t="str">
        <f>_xlfn.XLOOKUP(PROPERTIES[[#This Row],[COUNTRY]],COUNTRIES[COUNTRY_DESCRIPTION],COUNTRIES[COUNTRY_LABEL],"")</f>
        <v>AT</v>
      </c>
      <c r="G525" t="str" cm="1">
        <f t="array" ref="G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5" t="s">
        <v>17</v>
      </c>
      <c r="I525">
        <v>72</v>
      </c>
      <c r="J525">
        <v>7</v>
      </c>
      <c r="K525">
        <v>7</v>
      </c>
      <c r="L525" t="str" cm="1">
        <f t="array" ref="L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5">
        <f>_xlfn.XLOOKUP("LOADINGSPEEDDEF_"&amp;PROPERTIES[[#This Row],[LOADINGSPEED]],LOADINGSPEEDDEF[TYPE],LOADINGSPEEDDEF[SPEED])</f>
        <v>40</v>
      </c>
      <c r="N525" cm="1">
        <f t="array" ref="N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5">
        <f>IF(ISNUMBER(SEARCH("passenger",PROPERTIES[[#This Row],[CARGODEF]])),1,0)</f>
        <v>1</v>
      </c>
      <c r="P525" s="29">
        <f>(56+32)/2</f>
        <v>44</v>
      </c>
      <c r="Q525">
        <v>1341</v>
      </c>
      <c r="R525">
        <v>100</v>
      </c>
      <c r="S525" s="26">
        <f>99/2</f>
        <v>49.5</v>
      </c>
      <c r="T525" s="25">
        <f>IFERROR(PROPERTIES[[#This Row],[TE_STARTING_KN]]/(PROPERTIES[[#This Row],[WEIGHT]]*9.81),0)</f>
        <v>0.1146788990825688</v>
      </c>
      <c r="U525" s="25">
        <v>0.27</v>
      </c>
      <c r="V525" s="22">
        <f>ROUND(IF(IFERROR(PROPERTIES[[#This Row],[TE_COEFFICIENT_CALC]],0)=0,PROPERTIES[[#This Row],[TE_COEFFICIENT_MANUAL]],PROPERTIES[[#This Row],[TE_COEFFICIENT_CALC]]),3)</f>
        <v>0.115</v>
      </c>
      <c r="W525" s="10" cm="1">
        <f t="array" ref="W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525" s="32">
        <v>72</v>
      </c>
      <c r="Y525" s="8">
        <v>7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8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9" t="b">
        <v>0</v>
      </c>
      <c r="AY525"/>
      <c r="AZ525"/>
      <c r="BA525"/>
    </row>
    <row r="526" spans="1:53">
      <c r="A526" s="2" t="s">
        <v>547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t="s">
        <v>1709</v>
      </c>
      <c r="F526" t="str">
        <f>_xlfn.XLOOKUP(PROPERTIES[[#This Row],[COUNTRY]],COUNTRIES[COUNTRY_DESCRIPTION],COUNTRIES[COUNTRY_LABEL],"")</f>
        <v>AT</v>
      </c>
      <c r="G526" t="str" cm="1">
        <f t="array" ref="G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6" t="s">
        <v>17</v>
      </c>
      <c r="I526">
        <v>62</v>
      </c>
      <c r="J526">
        <v>8</v>
      </c>
      <c r="K526">
        <v>8</v>
      </c>
      <c r="L526" t="str" cm="1">
        <f t="array" ref="L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6">
        <f>_xlfn.XLOOKUP("LOADINGSPEEDDEF_"&amp;PROPERTIES[[#This Row],[LOADINGSPEED]],LOADINGSPEEDDEF[TYPE],LOADINGSPEEDDEF[SPEED])</f>
        <v>40</v>
      </c>
      <c r="N526" cm="1">
        <f t="array" ref="N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6">
        <f>IF(ISNUMBER(SEARCH("passenger",PROPERTIES[[#This Row],[CARGODEF]])),1,0)</f>
        <v>1</v>
      </c>
      <c r="P526" s="29">
        <v>72.7</v>
      </c>
      <c r="Q526">
        <f>555*2</f>
        <v>1110</v>
      </c>
      <c r="R526">
        <v>62</v>
      </c>
      <c r="S526" s="26">
        <f>200/2</f>
        <v>100</v>
      </c>
      <c r="T526" s="25">
        <f>IFERROR(PROPERTIES[[#This Row],[TE_STARTING_KN]]/(PROPERTIES[[#This Row],[WEIGHT]]*9.81),0)</f>
        <v>0.14021567975860469</v>
      </c>
      <c r="U526" s="25">
        <v>0.08</v>
      </c>
      <c r="V526" s="22">
        <f>ROUND(IF(IFERROR(PROPERTIES[[#This Row],[TE_COEFFICIENT_CALC]],0)=0,PROPERTIES[[#This Row],[TE_COEFFICIENT_MANUAL]],PROPERTIES[[#This Row],[TE_COEFFICIENT_CALC]]),3)</f>
        <v>0.14000000000000001</v>
      </c>
      <c r="W526" s="10" cm="1">
        <f t="array" ref="W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26" s="32">
        <v>62</v>
      </c>
      <c r="Y526" s="8">
        <v>8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8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9" t="b">
        <v>0</v>
      </c>
      <c r="AY526"/>
      <c r="AZ526"/>
      <c r="BA526"/>
    </row>
    <row r="527" spans="1:53">
      <c r="A527" s="2" t="s">
        <v>548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t="s">
        <v>1709</v>
      </c>
      <c r="F527" t="str">
        <f>_xlfn.XLOOKUP(PROPERTIES[[#This Row],[COUNTRY]],COUNTRIES[COUNTRY_DESCRIPTION],COUNTRIES[COUNTRY_LABEL],"")</f>
        <v>AT</v>
      </c>
      <c r="G527" t="str" cm="1">
        <f t="array" ref="G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7" t="s">
        <v>17</v>
      </c>
      <c r="I527">
        <v>60</v>
      </c>
      <c r="J527">
        <v>8</v>
      </c>
      <c r="K527">
        <v>8</v>
      </c>
      <c r="L527" t="str" cm="1">
        <f t="array" ref="L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7">
        <f>_xlfn.XLOOKUP("LOADINGSPEEDDEF_"&amp;PROPERTIES[[#This Row],[LOADINGSPEED]],LOADINGSPEEDDEF[TYPE],LOADINGSPEEDDEF[SPEED])</f>
        <v>16</v>
      </c>
      <c r="N527" t="str" cm="1">
        <f t="array" ref="N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7">
        <f>IF(ISNUMBER(SEARCH("passenger",PROPERTIES[[#This Row],[CARGODEF]])),1,0)</f>
        <v>1</v>
      </c>
      <c r="P527" s="29">
        <v>78</v>
      </c>
      <c r="Q527">
        <v>5340</v>
      </c>
      <c r="R527">
        <v>200</v>
      </c>
      <c r="S527" s="26">
        <f>200/2</f>
        <v>100</v>
      </c>
      <c r="T527" s="25">
        <f>IFERROR(PROPERTIES[[#This Row],[TE_STARTING_KN]]/(PROPERTIES[[#This Row],[WEIGHT]]*9.81),0)</f>
        <v>0.13068820408269949</v>
      </c>
      <c r="U527" s="25">
        <v>0.62</v>
      </c>
      <c r="V527" s="22">
        <f>ROUND(IF(IFERROR(PROPERTIES[[#This Row],[TE_COEFFICIENT_CALC]],0)=0,PROPERTIES[[#This Row],[TE_COEFFICIENT_MANUAL]],PROPERTIES[[#This Row],[TE_COEFFICIENT_CALC]]),3)</f>
        <v>0.13100000000000001</v>
      </c>
      <c r="W527" s="10" cm="1">
        <f t="array" ref="W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27" s="32">
        <v>140</v>
      </c>
      <c r="Y527" s="8">
        <v>8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8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9" t="b">
        <v>0</v>
      </c>
      <c r="AY527"/>
      <c r="AZ527"/>
      <c r="BA527"/>
    </row>
    <row r="528" spans="1:53">
      <c r="A528" s="2" t="s">
        <v>549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t="s">
        <v>1754</v>
      </c>
      <c r="F528" t="str">
        <f>_xlfn.XLOOKUP(PROPERTIES[[#This Row],[COUNTRY]],COUNTRIES[COUNTRY_DESCRIPTION],COUNTRIES[COUNTRY_LABEL],"")</f>
        <v>DE</v>
      </c>
      <c r="G528" t="str" cm="1">
        <f t="array" ref="G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8" t="s">
        <v>17</v>
      </c>
      <c r="I528">
        <f>INT((192+266)/3)</f>
        <v>152</v>
      </c>
      <c r="J528">
        <v>8</v>
      </c>
      <c r="K528">
        <v>8</v>
      </c>
      <c r="L528" t="str" cm="1">
        <f t="array" ref="L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8">
        <f>_xlfn.XLOOKUP("LOADINGSPEEDDEF_"&amp;PROPERTIES[[#This Row],[LOADINGSPEED]],LOADINGSPEEDDEF[TYPE],LOADINGSPEEDDEF[SPEED])</f>
        <v>40</v>
      </c>
      <c r="N528" cm="1">
        <f t="array" ref="N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8">
        <f>IF(ISNUMBER(SEARCH("passenger",PROPERTIES[[#This Row],[CARGODEF]])),1,0)</f>
        <v>1</v>
      </c>
      <c r="P528" s="29">
        <v>46</v>
      </c>
      <c r="Q528">
        <f>1072*2</f>
        <v>2144</v>
      </c>
      <c r="R528">
        <v>125</v>
      </c>
      <c r="S528" s="26">
        <v>63</v>
      </c>
      <c r="T528" s="25">
        <f>IFERROR(PROPERTIES[[#This Row],[TE_STARTING_KN]]/(PROPERTIES[[#This Row],[WEIGHT]]*9.81),0)</f>
        <v>0.13960909453530115</v>
      </c>
      <c r="U528" s="25">
        <v>0.31</v>
      </c>
      <c r="V528" s="22">
        <f>ROUND(IF(IFERROR(PROPERTIES[[#This Row],[TE_COEFFICIENT_CALC]],0)=0,PROPERTIES[[#This Row],[TE_COEFFICIENT_MANUAL]],PROPERTIES[[#This Row],[TE_COEFFICIENT_CALC]]),3)</f>
        <v>0.14000000000000001</v>
      </c>
      <c r="W528" s="10" cm="1">
        <f t="array" ref="W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8" s="41">
        <f>INT((192+266)/3)</f>
        <v>152</v>
      </c>
      <c r="Y528" s="8">
        <v>8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8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9" t="b">
        <v>0</v>
      </c>
      <c r="AY528"/>
      <c r="AZ528"/>
      <c r="BA528"/>
    </row>
    <row r="529" spans="1:53">
      <c r="A529" s="2" t="s">
        <v>550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t="s">
        <v>1863</v>
      </c>
      <c r="F529" t="str">
        <f>_xlfn.XLOOKUP(PROPERTIES[[#This Row],[COUNTRY]],COUNTRIES[COUNTRY_DESCRIPTION],COUNTRIES[COUNTRY_LABEL],"")</f>
        <v>NO</v>
      </c>
      <c r="G529" t="str" cm="1">
        <f t="array" ref="G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9" t="s">
        <v>17</v>
      </c>
      <c r="I529">
        <v>54</v>
      </c>
      <c r="J529">
        <v>8</v>
      </c>
      <c r="K529">
        <v>8</v>
      </c>
      <c r="L529" t="str" cm="1">
        <f t="array" ref="L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9">
        <f>_xlfn.XLOOKUP("LOADINGSPEEDDEF_"&amp;PROPERTIES[[#This Row],[LOADINGSPEED]],LOADINGSPEEDDEF[TYPE],LOADINGSPEEDDEF[SPEED])</f>
        <v>16</v>
      </c>
      <c r="N529" t="str" cm="1">
        <f t="array" ref="N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9">
        <f>IF(ISNUMBER(SEARCH("passenger",PROPERTIES[[#This Row],[CARGODEF]])),1,0)</f>
        <v>1</v>
      </c>
      <c r="P529" s="29">
        <v>54</v>
      </c>
      <c r="Q529">
        <f>1166*2</f>
        <v>2332</v>
      </c>
      <c r="R529">
        <v>210</v>
      </c>
      <c r="S529" s="26">
        <f>117/2</f>
        <v>58.5</v>
      </c>
      <c r="T529" s="25">
        <f>IFERROR(PROPERTIES[[#This Row],[TE_STARTING_KN]]/(PROPERTIES[[#This Row],[WEIGHT]]*9.81),0)</f>
        <v>0.11043153244988108</v>
      </c>
      <c r="U529" s="25">
        <v>0.69</v>
      </c>
      <c r="V529" s="22">
        <f>ROUND(IF(IFERROR(PROPERTIES[[#This Row],[TE_COEFFICIENT_CALC]],0)=0,PROPERTIES[[#This Row],[TE_COEFFICIENT_MANUAL]],PROPERTIES[[#This Row],[TE_COEFFICIENT_CALC]]),3)</f>
        <v>0.11</v>
      </c>
      <c r="W529" s="10" cm="1">
        <f t="array" ref="W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9" s="32">
        <v>54</v>
      </c>
      <c r="Y529" s="8">
        <v>8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8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9" t="b">
        <v>0</v>
      </c>
      <c r="AY529"/>
      <c r="AZ529"/>
      <c r="BA529"/>
    </row>
    <row r="530" spans="1:53">
      <c r="A530" s="2" t="s">
        <v>551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t="s">
        <v>1863</v>
      </c>
      <c r="F530" t="str">
        <f>_xlfn.XLOOKUP(PROPERTIES[[#This Row],[COUNTRY]],COUNTRIES[COUNTRY_DESCRIPTION],COUNTRIES[COUNTRY_LABEL],"")</f>
        <v>NO</v>
      </c>
      <c r="G530" t="str" cm="1">
        <f t="array" ref="G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0" t="s">
        <v>17</v>
      </c>
      <c r="I530">
        <v>50</v>
      </c>
      <c r="J530">
        <v>8</v>
      </c>
      <c r="K530">
        <v>8</v>
      </c>
      <c r="L530" t="str" cm="1">
        <f t="array" ref="L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0">
        <f>_xlfn.XLOOKUP("LOADINGSPEEDDEF_"&amp;PROPERTIES[[#This Row],[LOADINGSPEED]],LOADINGSPEEDDEF[TYPE],LOADINGSPEEDDEF[SPEED])</f>
        <v>40</v>
      </c>
      <c r="N530" cm="1">
        <f t="array" ref="N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0">
        <f>IF(ISNUMBER(SEARCH("passenger",PROPERTIES[[#This Row],[CARGODEF]])),1,0)</f>
        <v>1</v>
      </c>
      <c r="P530" s="29">
        <f>(47+30)/2</f>
        <v>38.5</v>
      </c>
      <c r="Q530">
        <v>622</v>
      </c>
      <c r="R530">
        <v>70</v>
      </c>
      <c r="S530" s="26">
        <f>85/2</f>
        <v>42.5</v>
      </c>
      <c r="T530" s="25">
        <f>IFERROR(PROPERTIES[[#This Row],[TE_STARTING_KN]]/(PROPERTIES[[#This Row],[WEIGHT]]*9.81),0)</f>
        <v>0.11252763546341528</v>
      </c>
      <c r="U530" s="25">
        <v>0.23</v>
      </c>
      <c r="V530" s="22">
        <f>ROUND(IF(IFERROR(PROPERTIES[[#This Row],[TE_COEFFICIENT_CALC]],0)=0,PROPERTIES[[#This Row],[TE_COEFFICIENT_MANUAL]],PROPERTIES[[#This Row],[TE_COEFFICIENT_CALC]]),3)</f>
        <v>0.113</v>
      </c>
      <c r="W530" s="10" cm="1">
        <f t="array" ref="W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30" s="32">
        <v>50</v>
      </c>
      <c r="Y530" s="8">
        <v>7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8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9" t="b">
        <v>0</v>
      </c>
      <c r="AY530"/>
      <c r="AZ530"/>
      <c r="BA530"/>
    </row>
    <row r="531" spans="1:53">
      <c r="A531" s="2" t="s">
        <v>552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t="s">
        <v>1893</v>
      </c>
      <c r="F531" t="str">
        <f>_xlfn.XLOOKUP(PROPERTIES[[#This Row],[COUNTRY]],COUNTRIES[COUNTRY_DESCRIPTION],COUNTRIES[COUNTRY_LABEL],"")</f>
        <v>SE</v>
      </c>
      <c r="G531" t="str" cm="1">
        <f t="array" ref="G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1" t="s">
        <v>17</v>
      </c>
      <c r="I531">
        <v>0</v>
      </c>
      <c r="J531">
        <v>8</v>
      </c>
      <c r="K531">
        <v>8</v>
      </c>
      <c r="L531" t="str" cm="1">
        <f t="array" ref="L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1">
        <f>_xlfn.XLOOKUP("LOADINGSPEEDDEF_"&amp;PROPERTIES[[#This Row],[LOADINGSPEED]],LOADINGSPEEDDEF[TYPE],LOADINGSPEEDDEF[SPEED])</f>
        <v>16</v>
      </c>
      <c r="N531" t="str" cm="1">
        <f t="array" ref="N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1">
        <f>IF(ISNUMBER(SEARCH("passenger",PROPERTIES[[#This Row],[CARGODEF]])),1,0)</f>
        <v>1</v>
      </c>
      <c r="P531" s="29">
        <v>73</v>
      </c>
      <c r="Q531">
        <v>4400</v>
      </c>
      <c r="R531">
        <v>200</v>
      </c>
      <c r="S531" s="26">
        <f>160/2</f>
        <v>80</v>
      </c>
      <c r="T531" s="25">
        <f>IFERROR(PROPERTIES[[#This Row],[TE_STARTING_KN]]/(PROPERTIES[[#This Row],[WEIGHT]]*9.81),0)</f>
        <v>0.11171156075014313</v>
      </c>
      <c r="U531" s="25">
        <v>0.49</v>
      </c>
      <c r="V531" s="22">
        <f>ROUND(IF(IFERROR(PROPERTIES[[#This Row],[TE_COEFFICIENT_CALC]],0)=0,PROPERTIES[[#This Row],[TE_COEFFICIENT_MANUAL]],PROPERTIES[[#This Row],[TE_COEFFICIENT_CALC]]),3)</f>
        <v>0.112</v>
      </c>
      <c r="W531" s="10" cm="1">
        <f t="array" ref="W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1" s="32">
        <v>72</v>
      </c>
      <c r="Y531" s="8">
        <v>8</v>
      </c>
      <c r="Z531" t="s">
        <v>873</v>
      </c>
      <c r="AA531" t="s">
        <v>883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8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9" t="b">
        <v>0</v>
      </c>
      <c r="AY531"/>
      <c r="AZ531"/>
      <c r="BA531"/>
    </row>
    <row r="532" spans="1:53">
      <c r="A532" s="2" t="s">
        <v>553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t="s">
        <v>1740</v>
      </c>
      <c r="F532" t="str">
        <f>_xlfn.XLOOKUP(PROPERTIES[[#This Row],[COUNTRY]],COUNTRIES[COUNTRY_DESCRIPTION],COUNTRIES[COUNTRY_LABEL],"")</f>
        <v>CH</v>
      </c>
      <c r="G532" t="str" cm="1">
        <f t="array" ref="G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2" t="s">
        <v>17</v>
      </c>
      <c r="I532">
        <v>56</v>
      </c>
      <c r="J532">
        <v>8</v>
      </c>
      <c r="K532">
        <v>8</v>
      </c>
      <c r="L532" t="str" cm="1">
        <f t="array" ref="L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2">
        <f>_xlfn.XLOOKUP("LOADINGSPEEDDEF_"&amp;PROPERTIES[[#This Row],[LOADINGSPEED]],LOADINGSPEEDDEF[TYPE],LOADINGSPEEDDEF[SPEED])</f>
        <v>40</v>
      </c>
      <c r="N532" cm="1">
        <f t="array" ref="N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2">
        <f>IF(ISNUMBER(SEARCH("passenger",PROPERTIES[[#This Row],[CARGODEF]])),1,0)</f>
        <v>1</v>
      </c>
      <c r="P532" s="29">
        <f>INT(200/3)</f>
        <v>66</v>
      </c>
      <c r="Q532">
        <f>INT(3277*2/3)</f>
        <v>2184</v>
      </c>
      <c r="R532">
        <v>125</v>
      </c>
      <c r="S532" s="26">
        <f>239/2</f>
        <v>119.5</v>
      </c>
      <c r="T532" s="25">
        <f>IFERROR(PROPERTIES[[#This Row],[TE_STARTING_KN]]/(PROPERTIES[[#This Row],[WEIGHT]]*9.81),0)</f>
        <v>0.18456738640224879</v>
      </c>
      <c r="U532" s="25">
        <v>0.43</v>
      </c>
      <c r="V532" s="22">
        <f>ROUND(IF(IFERROR(PROPERTIES[[#This Row],[TE_COEFFICIENT_CALC]],0)=0,PROPERTIES[[#This Row],[TE_COEFFICIENT_MANUAL]],PROPERTIES[[#This Row],[TE_COEFFICIENT_CALC]]),3)</f>
        <v>0.185</v>
      </c>
      <c r="W532" s="10" cm="1">
        <f t="array" ref="W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2" s="32">
        <f>INT(200/3)</f>
        <v>66</v>
      </c>
      <c r="Y532" s="8">
        <v>8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8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9" t="b">
        <v>0</v>
      </c>
      <c r="AY532"/>
      <c r="AZ532"/>
      <c r="BA532"/>
    </row>
    <row r="533" spans="1:53">
      <c r="A533" s="2" t="s">
        <v>554</v>
      </c>
      <c r="B533">
        <v>1984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t="s">
        <v>1740</v>
      </c>
      <c r="F533" t="str">
        <f>_xlfn.XLOOKUP(PROPERTIES[[#This Row],[COUNTRY]],COUNTRIES[COUNTRY_DESCRIPTION],COUNTRIES[COUNTRY_LABEL],"")</f>
        <v>CH</v>
      </c>
      <c r="G533" t="str" cm="1">
        <f t="array" ref="G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3" t="s">
        <v>17</v>
      </c>
      <c r="I533">
        <v>56</v>
      </c>
      <c r="J533">
        <v>8</v>
      </c>
      <c r="K533">
        <v>8</v>
      </c>
      <c r="L533" t="str" cm="1">
        <f t="array" ref="L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3">
        <f>_xlfn.XLOOKUP("LOADINGSPEEDDEF_"&amp;PROPERTIES[[#This Row],[LOADINGSPEED]],LOADINGSPEEDDEF[TYPE],LOADINGSPEEDDEF[SPEED])</f>
        <v>40</v>
      </c>
      <c r="N533" cm="1">
        <f t="array" ref="N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3">
        <f>IF(ISNUMBER(SEARCH("passenger",PROPERTIES[[#This Row],[CARGODEF]])),1,0)</f>
        <v>1</v>
      </c>
      <c r="P533" s="29">
        <v>35</v>
      </c>
      <c r="Q533">
        <v>2210</v>
      </c>
      <c r="R533">
        <v>140</v>
      </c>
      <c r="S533" s="26">
        <f>182/2</f>
        <v>91</v>
      </c>
      <c r="T533" s="25">
        <f>IFERROR(PROPERTIES[[#This Row],[TE_STARTING_KN]]/(PROPERTIES[[#This Row],[WEIGHT]]*9.81),0)</f>
        <v>0.26503567787971455</v>
      </c>
      <c r="U533" s="25">
        <v>0.52</v>
      </c>
      <c r="V533" s="22">
        <f>ROUND(IF(IFERROR(PROPERTIES[[#This Row],[TE_COEFFICIENT_CALC]],0)=0,PROPERTIES[[#This Row],[TE_COEFFICIENT_MANUAL]],PROPERTIES[[#This Row],[TE_COEFFICIENT_CALC]]),3)</f>
        <v>0.26500000000000001</v>
      </c>
      <c r="W533" s="10" cm="1">
        <f t="array" ref="W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3" s="32">
        <v>56</v>
      </c>
      <c r="Y533" s="8">
        <v>8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8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9" t="b">
        <v>0</v>
      </c>
      <c r="AY533"/>
      <c r="AZ533"/>
      <c r="BA533"/>
    </row>
    <row r="534" spans="1:53">
      <c r="A534" s="2" t="s">
        <v>555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t="s">
        <v>1740</v>
      </c>
      <c r="F534" t="str">
        <f>_xlfn.XLOOKUP(PROPERTIES[[#This Row],[COUNTRY]],COUNTRIES[COUNTRY_DESCRIPTION],COUNTRIES[COUNTRY_LABEL],"")</f>
        <v>CH</v>
      </c>
      <c r="G534" t="str" cm="1">
        <f t="array" ref="G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4" t="s">
        <v>17</v>
      </c>
      <c r="I534">
        <v>50</v>
      </c>
      <c r="J534">
        <v>8</v>
      </c>
      <c r="K534">
        <v>8</v>
      </c>
      <c r="L534" t="str" cm="1">
        <f t="array" ref="L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4">
        <f>_xlfn.XLOOKUP("LOADINGSPEEDDEF_"&amp;PROPERTIES[[#This Row],[LOADINGSPEED]],LOADINGSPEEDDEF[TYPE],LOADINGSPEEDDEF[SPEED])</f>
        <v>40</v>
      </c>
      <c r="N534" t="str" cm="1">
        <f t="array" ref="N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4">
        <f>IF(ISNUMBER(SEARCH("passenger",PROPERTIES[[#This Row],[CARGODEF]])),1,0)</f>
        <v>1</v>
      </c>
      <c r="P534" s="29">
        <v>31</v>
      </c>
      <c r="Q534">
        <v>2682</v>
      </c>
      <c r="R534">
        <v>160</v>
      </c>
      <c r="S534" s="26">
        <f>200/2</f>
        <v>100</v>
      </c>
      <c r="T534" s="25">
        <f>IFERROR(PROPERTIES[[#This Row],[TE_STARTING_KN]]/(PROPERTIES[[#This Row],[WEIGHT]]*9.81),0)</f>
        <v>0.32882838446614709</v>
      </c>
      <c r="U534" s="25">
        <v>0.65</v>
      </c>
      <c r="V534" s="22">
        <f>ROUND(IF(IFERROR(PROPERTIES[[#This Row],[TE_COEFFICIENT_CALC]],0)=0,PROPERTIES[[#This Row],[TE_COEFFICIENT_MANUAL]],PROPERTIES[[#This Row],[TE_COEFFICIENT_CALC]]),3)</f>
        <v>0.32900000000000001</v>
      </c>
      <c r="W534" s="10" cm="1">
        <f t="array" ref="W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4" s="32">
        <v>50</v>
      </c>
      <c r="Y534" s="8">
        <v>7</v>
      </c>
      <c r="Z534" t="s">
        <v>878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8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9" t="b">
        <v>0</v>
      </c>
      <c r="AY534"/>
      <c r="AZ534"/>
      <c r="BA534"/>
    </row>
    <row r="535" spans="1:53">
      <c r="A535" s="2" t="s">
        <v>556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t="s">
        <v>1928</v>
      </c>
      <c r="F535" t="str">
        <f>_xlfn.XLOOKUP(PROPERTIES[[#This Row],[COUNTRY]],COUNTRIES[COUNTRY_DESCRIPTION],COUNTRIES[COUNTRY_LABEL],"")</f>
        <v>US</v>
      </c>
      <c r="G535" t="str" cm="1">
        <f t="array" ref="G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5" t="s">
        <v>17</v>
      </c>
      <c r="I535">
        <v>76</v>
      </c>
      <c r="J535">
        <v>8</v>
      </c>
      <c r="K535">
        <v>8</v>
      </c>
      <c r="L535" t="str" cm="1">
        <f t="array" ref="L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5">
        <f>_xlfn.XLOOKUP("LOADINGSPEEDDEF_"&amp;PROPERTIES[[#This Row],[LOADINGSPEED]],LOADINGSPEEDDEF[TYPE],LOADINGSPEEDDEF[SPEED])</f>
        <v>16</v>
      </c>
      <c r="N535" cm="1">
        <f t="array" ref="N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5">
        <f>IF(ISNUMBER(SEARCH("passenger",PROPERTIES[[#This Row],[CARGODEF]])),1,0)</f>
        <v>1</v>
      </c>
      <c r="P535" s="29">
        <v>75</v>
      </c>
      <c r="Q535">
        <v>2400</v>
      </c>
      <c r="R535">
        <v>190</v>
      </c>
      <c r="S535" s="26">
        <f>200/2</f>
        <v>100</v>
      </c>
      <c r="T535" s="25">
        <f>IFERROR(PROPERTIES[[#This Row],[TE_STARTING_KN]]/(PROPERTIES[[#This Row],[WEIGHT]]*9.81),0)</f>
        <v>0.13591573224600748</v>
      </c>
      <c r="U535" s="25">
        <v>0.15</v>
      </c>
      <c r="V535" s="22">
        <f>ROUND(IF(IFERROR(PROPERTIES[[#This Row],[TE_COEFFICIENT_CALC]],0)=0,PROPERTIES[[#This Row],[TE_COEFFICIENT_MANUAL]],PROPERTIES[[#This Row],[TE_COEFFICIENT_CALC]]),3)</f>
        <v>0.13600000000000001</v>
      </c>
      <c r="W535" s="10" cm="1">
        <f t="array" ref="W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5" s="41">
        <v>76</v>
      </c>
      <c r="Y535" s="8">
        <v>8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8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9" t="b">
        <v>0</v>
      </c>
      <c r="AY535"/>
      <c r="AZ535"/>
      <c r="BA535"/>
    </row>
    <row r="536" spans="1:53">
      <c r="A536" s="2" t="s">
        <v>557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t="s">
        <v>1754</v>
      </c>
      <c r="F536" t="str">
        <f>_xlfn.XLOOKUP(PROPERTIES[[#This Row],[COUNTRY]],COUNTRIES[COUNTRY_DESCRIPTION],COUNTRIES[COUNTRY_LABEL],"")</f>
        <v>DE</v>
      </c>
      <c r="G536" t="str" cm="1">
        <f t="array" ref="G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6" t="s">
        <v>17</v>
      </c>
      <c r="I536">
        <f>INT(441/8)</f>
        <v>55</v>
      </c>
      <c r="J536">
        <v>7</v>
      </c>
      <c r="K536">
        <v>7</v>
      </c>
      <c r="L536" t="str" cm="1">
        <f t="array" ref="L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6">
        <f>_xlfn.XLOOKUP("LOADINGSPEEDDEF_"&amp;PROPERTIES[[#This Row],[LOADINGSPEED]],LOADINGSPEEDDEF[TYPE],LOADINGSPEEDDEF[SPEED])</f>
        <v>16</v>
      </c>
      <c r="N536" t="str" cm="1">
        <f t="array" ref="N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6">
        <f>IF(ISNUMBER(SEARCH("passenger",PROPERTIES[[#This Row],[CARGODEF]])),1,0)</f>
        <v>1</v>
      </c>
      <c r="P536" s="29">
        <f>409/8</f>
        <v>51.125</v>
      </c>
      <c r="Q536">
        <v>10728</v>
      </c>
      <c r="R536">
        <v>328</v>
      </c>
      <c r="S536" s="26">
        <f>300/2</f>
        <v>150</v>
      </c>
      <c r="T536" s="25">
        <f>IFERROR(PROPERTIES[[#This Row],[TE_STARTING_KN]]/(PROPERTIES[[#This Row],[WEIGHT]]*9.81),0)</f>
        <v>0.29908107340197243</v>
      </c>
      <c r="U536" s="25">
        <v>0.98</v>
      </c>
      <c r="V536" s="22">
        <f>ROUND(IF(IFERROR(PROPERTIES[[#This Row],[TE_COEFFICIENT_CALC]],0)=0,PROPERTIES[[#This Row],[TE_COEFFICIENT_MANUAL]],PROPERTIES[[#This Row],[TE_COEFFICIENT_CALC]]),3)</f>
        <v>0.29899999999999999</v>
      </c>
      <c r="W536" s="10" cm="1">
        <f t="array" ref="W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6" s="32">
        <f>INT(441/8)</f>
        <v>55</v>
      </c>
      <c r="Y536" s="8">
        <v>8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8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9" t="b">
        <v>0</v>
      </c>
      <c r="AY536"/>
      <c r="AZ536"/>
      <c r="BA536"/>
    </row>
    <row r="537" spans="1:53">
      <c r="A537" s="2" t="s">
        <v>558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t="s">
        <v>1719</v>
      </c>
      <c r="F537" t="str">
        <f>_xlfn.XLOOKUP(PROPERTIES[[#This Row],[COUNTRY]],COUNTRIES[COUNTRY_DESCRIPTION],COUNTRIES[COUNTRY_LABEL],"")</f>
        <v>BG</v>
      </c>
      <c r="G537" t="str" cm="1">
        <f t="array" ref="G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7" t="s">
        <v>17</v>
      </c>
      <c r="I537" s="8">
        <f>INT(190/2)</f>
        <v>95</v>
      </c>
      <c r="J537">
        <v>8</v>
      </c>
      <c r="K537">
        <v>8</v>
      </c>
      <c r="L537" t="str" cm="1">
        <f t="array" ref="L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7">
        <f>_xlfn.XLOOKUP("LOADINGSPEEDDEF_"&amp;PROPERTIES[[#This Row],[LOADINGSPEED]],LOADINGSPEEDDEF[TYPE],LOADINGSPEEDDEF[SPEED])</f>
        <v>40</v>
      </c>
      <c r="N537" t="str" cm="1">
        <f t="array" ref="N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7">
        <f>IF(ISNUMBER(SEARCH("passenger",PROPERTIES[[#This Row],[CARGODEF]])),1,0)</f>
        <v>1</v>
      </c>
      <c r="P537" s="29">
        <f>88/2</f>
        <v>44</v>
      </c>
      <c r="Q537">
        <v>1740</v>
      </c>
      <c r="R537">
        <v>120</v>
      </c>
      <c r="S537" s="26">
        <v>0</v>
      </c>
      <c r="T537" s="25">
        <f>IFERROR(PROPERTIES[[#This Row],[TE_STARTING_KN]]/(PROPERTIES[[#This Row],[WEIGHT]]*9.81),0)</f>
        <v>0</v>
      </c>
      <c r="U537" s="25">
        <v>0.21</v>
      </c>
      <c r="V537" s="22">
        <f>ROUND(IF(IFERROR(PROPERTIES[[#This Row],[TE_COEFFICIENT_CALC]],0)=0,PROPERTIES[[#This Row],[TE_COEFFICIENT_MANUAL]],PROPERTIES[[#This Row],[TE_COEFFICIENT_CALC]]),3)</f>
        <v>0.21</v>
      </c>
      <c r="W537" s="10" cm="1">
        <f t="array" ref="W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7" s="32">
        <f>INT(190/2)</f>
        <v>95</v>
      </c>
      <c r="Y537" s="8">
        <v>8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8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9" t="b">
        <v>0</v>
      </c>
      <c r="AY537"/>
      <c r="AZ537"/>
      <c r="BA537"/>
    </row>
    <row r="538" spans="1:53">
      <c r="A538" s="2" t="s">
        <v>559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t="s">
        <v>1767</v>
      </c>
      <c r="F538" t="str">
        <f>_xlfn.XLOOKUP(PROPERTIES[[#This Row],[COUNTRY]],COUNTRIES[COUNTRY_DESCRIPTION],COUNTRIES[COUNTRY_LABEL],"")</f>
        <v>FI</v>
      </c>
      <c r="G538" t="str" cm="1">
        <f t="array" ref="G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8" t="s">
        <v>17</v>
      </c>
      <c r="I538">
        <v>100</v>
      </c>
      <c r="J538">
        <v>8</v>
      </c>
      <c r="K538">
        <v>8</v>
      </c>
      <c r="L538" t="str" cm="1">
        <f t="array" ref="L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8">
        <f>_xlfn.XLOOKUP("LOADINGSPEEDDEF_"&amp;PROPERTIES[[#This Row],[LOADINGSPEED]],LOADINGSPEEDDEF[TYPE],LOADINGSPEEDDEF[SPEED])</f>
        <v>40</v>
      </c>
      <c r="N538" cm="1">
        <f t="array" ref="N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8">
        <f>IF(ISNUMBER(SEARCH("passenger",PROPERTIES[[#This Row],[CARGODEF]])),1,0)</f>
        <v>1</v>
      </c>
      <c r="P538" s="29">
        <f>(46.5+76)/2</f>
        <v>61.25</v>
      </c>
      <c r="Q538">
        <v>818</v>
      </c>
      <c r="R538">
        <v>120</v>
      </c>
      <c r="S538" s="26">
        <f>85/2</f>
        <v>42.5</v>
      </c>
      <c r="T538" s="25">
        <f>IFERROR(PROPERTIES[[#This Row],[TE_STARTING_KN]]/(PROPERTIES[[#This Row],[WEIGHT]]*9.81),0)</f>
        <v>7.0731656577003879E-2</v>
      </c>
      <c r="U538" s="25">
        <v>0.22</v>
      </c>
      <c r="V538" s="22">
        <f>ROUND(IF(IFERROR(PROPERTIES[[#This Row],[TE_COEFFICIENT_CALC]],0)=0,PROPERTIES[[#This Row],[TE_COEFFICIENT_MANUAL]],PROPERTIES[[#This Row],[TE_COEFFICIENT_CALC]]),3)</f>
        <v>7.0999999999999994E-2</v>
      </c>
      <c r="W538" s="10" cm="1">
        <f t="array" ref="W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8" s="32">
        <v>100</v>
      </c>
      <c r="Y538" s="8">
        <v>8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8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8" s="2" t="b">
        <v>0</v>
      </c>
      <c r="AH538" s="9" t="b">
        <v>0</v>
      </c>
      <c r="AY538"/>
      <c r="AZ538"/>
      <c r="BA538"/>
    </row>
    <row r="539" spans="1:53">
      <c r="A539" s="2" t="s">
        <v>560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t="s">
        <v>1767</v>
      </c>
      <c r="F539" t="str">
        <f>_xlfn.XLOOKUP(PROPERTIES[[#This Row],[COUNTRY]],COUNTRIES[COUNTRY_DESCRIPTION],COUNTRIES[COUNTRY_LABEL],"")</f>
        <v>FI</v>
      </c>
      <c r="G539" t="str" cm="1">
        <f t="array" ref="G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9" t="s">
        <v>17</v>
      </c>
      <c r="I539">
        <f>184/2</f>
        <v>92</v>
      </c>
      <c r="J539">
        <v>8</v>
      </c>
      <c r="K539">
        <v>8</v>
      </c>
      <c r="L539" t="str" cm="1">
        <f t="array" ref="L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9">
        <f>_xlfn.XLOOKUP("LOADINGSPEEDDEF_"&amp;PROPERTIES[[#This Row],[LOADINGSPEED]],LOADINGSPEEDDEF[TYPE],LOADINGSPEEDDEF[SPEED])</f>
        <v>40</v>
      </c>
      <c r="N539" t="str" cm="1">
        <f t="array" ref="N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9">
        <f>IF(ISNUMBER(SEARCH("passenger",PROPERTIES[[#This Row],[CARGODEF]])),1,0)</f>
        <v>1</v>
      </c>
      <c r="P539" s="29">
        <v>57</v>
      </c>
      <c r="Q539">
        <v>1636</v>
      </c>
      <c r="R539">
        <v>160</v>
      </c>
      <c r="S539" s="26">
        <v>0</v>
      </c>
      <c r="T539" s="25">
        <f>IFERROR(PROPERTIES[[#This Row],[TE_STARTING_KN]]/(PROPERTIES[[#This Row],[WEIGHT]]*9.81),0)</f>
        <v>0</v>
      </c>
      <c r="U539" s="25">
        <v>0.18</v>
      </c>
      <c r="V539" s="22">
        <f>ROUND(IF(IFERROR(PROPERTIES[[#This Row],[TE_COEFFICIENT_CALC]],0)=0,PROPERTIES[[#This Row],[TE_COEFFICIENT_MANUAL]],PROPERTIES[[#This Row],[TE_COEFFICIENT_CALC]]),3)</f>
        <v>0.18</v>
      </c>
      <c r="W539" s="10" cm="1">
        <f t="array" ref="W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9" s="32">
        <f>184/2</f>
        <v>92</v>
      </c>
      <c r="Y539" s="8">
        <v>8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8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9" s="2" t="b">
        <v>0</v>
      </c>
      <c r="AH539" s="9" t="b">
        <v>0</v>
      </c>
      <c r="AY539"/>
      <c r="AZ539"/>
      <c r="BA539"/>
    </row>
    <row r="540" spans="1:53">
      <c r="A540" s="2" t="s">
        <v>561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t="s">
        <v>1796</v>
      </c>
      <c r="F540" t="str">
        <f>_xlfn.XLOOKUP(PROPERTIES[[#This Row],[COUNTRY]],COUNTRIES[COUNTRY_DESCRIPTION],COUNTRIES[COUNTRY_LABEL],"")</f>
        <v>HU</v>
      </c>
      <c r="G540" t="str" cm="1">
        <f t="array" ref="G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0" t="s">
        <v>17</v>
      </c>
      <c r="I540">
        <f>INT(344/4)</f>
        <v>86</v>
      </c>
      <c r="J540">
        <v>8</v>
      </c>
      <c r="K540">
        <v>8</v>
      </c>
      <c r="L540" t="str" cm="1">
        <f t="array" ref="L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0">
        <f>_xlfn.XLOOKUP("LOADINGSPEEDDEF_"&amp;PROPERTIES[[#This Row],[LOADINGSPEED]],LOADINGSPEEDDEF[TYPE],LOADINGSPEEDDEF[SPEED])</f>
        <v>40</v>
      </c>
      <c r="N540" t="str" cm="1">
        <f t="array" ref="N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0">
        <f>IF(ISNUMBER(SEARCH("passenger",PROPERTIES[[#This Row],[CARGODEF]])),1,0)</f>
        <v>1</v>
      </c>
      <c r="P540" s="29">
        <v>66</v>
      </c>
      <c r="Q540">
        <v>2040</v>
      </c>
      <c r="R540">
        <v>120</v>
      </c>
      <c r="S540" s="26">
        <v>0</v>
      </c>
      <c r="T540" s="25">
        <f>IFERROR(PROPERTIES[[#This Row],[TE_STARTING_KN]]/(PROPERTIES[[#This Row],[WEIGHT]]*9.81),0)</f>
        <v>0</v>
      </c>
      <c r="U540" s="25">
        <v>0.11</v>
      </c>
      <c r="V540" s="22">
        <f>ROUND(IF(IFERROR(PROPERTIES[[#This Row],[TE_COEFFICIENT_CALC]],0)=0,PROPERTIES[[#This Row],[TE_COEFFICIENT_MANUAL]],PROPERTIES[[#This Row],[TE_COEFFICIENT_CALC]]),3)</f>
        <v>0.11</v>
      </c>
      <c r="W540" s="10" cm="1">
        <f t="array" ref="W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540" s="32">
        <f>INT(344/4)</f>
        <v>86</v>
      </c>
      <c r="Y540" s="8">
        <v>8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8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9" t="b">
        <v>0</v>
      </c>
      <c r="AY540"/>
      <c r="AZ540"/>
      <c r="BA540"/>
    </row>
    <row r="541" spans="1:53">
      <c r="A541" s="2" t="s">
        <v>562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t="s">
        <v>1946</v>
      </c>
      <c r="F541" t="str">
        <f>_xlfn.XLOOKUP(PROPERTIES[[#This Row],[COUNTRY]],COUNTRIES[COUNTRY_DESCRIPTION],COUNTRIES[COUNTRY_LABEL],"")</f>
        <v>EU</v>
      </c>
      <c r="G541" t="str" cm="1">
        <f t="array" ref="G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1" t="s">
        <v>17</v>
      </c>
      <c r="I541">
        <v>85</v>
      </c>
      <c r="J541">
        <v>8</v>
      </c>
      <c r="K541">
        <v>8</v>
      </c>
      <c r="L541" t="str" cm="1">
        <f t="array" ref="L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1">
        <f>_xlfn.XLOOKUP("LOADINGSPEEDDEF_"&amp;PROPERTIES[[#This Row],[LOADINGSPEED]],LOADINGSPEEDDEF[TYPE],LOADINGSPEEDDEF[SPEED])</f>
        <v>16</v>
      </c>
      <c r="N541" t="str" cm="1">
        <f t="array" ref="N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1">
        <f>IF(ISNUMBER(SEARCH("passenger",PROPERTIES[[#This Row],[CARGODEF]])),1,0)</f>
        <v>1</v>
      </c>
      <c r="P541" s="29">
        <v>50</v>
      </c>
      <c r="Q541">
        <v>16000</v>
      </c>
      <c r="R541">
        <v>300</v>
      </c>
      <c r="S541" s="26">
        <v>0</v>
      </c>
      <c r="T541" s="25">
        <f>IFERROR(PROPERTIES[[#This Row],[TE_STARTING_KN]]/(PROPERTIES[[#This Row],[WEIGHT]]*9.81),0)</f>
        <v>0</v>
      </c>
      <c r="U541" s="25">
        <v>0.22</v>
      </c>
      <c r="V541" s="22">
        <f>ROUND(IF(IFERROR(PROPERTIES[[#This Row],[TE_COEFFICIENT_CALC]],0)=0,PROPERTIES[[#This Row],[TE_COEFFICIENT_MANUAL]],PROPERTIES[[#This Row],[TE_COEFFICIENT_CALC]]),3)</f>
        <v>0.22</v>
      </c>
      <c r="W541" s="10" cm="1">
        <f t="array" ref="W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1" s="32">
        <v>85</v>
      </c>
      <c r="Y541" s="8">
        <v>8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8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9" t="b">
        <v>0</v>
      </c>
      <c r="AY541"/>
      <c r="AZ541"/>
      <c r="BA541"/>
    </row>
    <row r="542" spans="1:53">
      <c r="A542" s="2" t="s">
        <v>563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t="s">
        <v>1810</v>
      </c>
      <c r="F542" t="str">
        <f>_xlfn.XLOOKUP(PROPERTIES[[#This Row],[COUNTRY]],COUNTRIES[COUNTRY_DESCRIPTION],COUNTRIES[COUNTRY_LABEL],"")</f>
        <v>JP</v>
      </c>
      <c r="G542" t="str" cm="1">
        <f t="array" ref="G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2" t="s">
        <v>17</v>
      </c>
      <c r="I542">
        <v>75</v>
      </c>
      <c r="J542">
        <v>8</v>
      </c>
      <c r="K542">
        <v>8</v>
      </c>
      <c r="L542" t="str" cm="1">
        <f t="array" ref="L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2">
        <f>_xlfn.XLOOKUP("LOADINGSPEEDDEF_"&amp;PROPERTIES[[#This Row],[LOADINGSPEED]],LOADINGSPEEDDEF[TYPE],LOADINGSPEEDDEF[SPEED])</f>
        <v>16</v>
      </c>
      <c r="N542" cm="1">
        <f t="array" ref="N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2">
        <f>IF(ISNUMBER(SEARCH("passenger",PROPERTIES[[#This Row],[CARGODEF]])),1,0)</f>
        <v>1</v>
      </c>
      <c r="P542" s="29">
        <v>59</v>
      </c>
      <c r="Q542">
        <f>992*2</f>
        <v>1984</v>
      </c>
      <c r="R542">
        <v>210</v>
      </c>
      <c r="S542" s="26">
        <v>65</v>
      </c>
      <c r="T542" s="25">
        <f>IFERROR(PROPERTIES[[#This Row],[TE_STARTING_KN]]/(PROPERTIES[[#This Row],[WEIGHT]]*9.81),0)</f>
        <v>0.1123032533388621</v>
      </c>
      <c r="U542" s="25">
        <v>0.3</v>
      </c>
      <c r="V542" s="22">
        <f>ROUND(IF(IFERROR(PROPERTIES[[#This Row],[TE_COEFFICIENT_CALC]],0)=0,PROPERTIES[[#This Row],[TE_COEFFICIENT_MANUAL]],PROPERTIES[[#This Row],[TE_COEFFICIENT_CALC]]),3)</f>
        <v>0.112</v>
      </c>
      <c r="W542" s="10" cm="1">
        <f t="array" ref="W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42" s="32">
        <v>100</v>
      </c>
      <c r="Y542" s="8">
        <v>8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8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9" t="b">
        <v>0</v>
      </c>
      <c r="AY542"/>
      <c r="AZ542"/>
      <c r="BA542"/>
    </row>
    <row r="543" spans="1:53">
      <c r="A543" s="2" t="s">
        <v>564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t="s">
        <v>1810</v>
      </c>
      <c r="F543" t="str">
        <f>_xlfn.XLOOKUP(PROPERTIES[[#This Row],[COUNTRY]],COUNTRIES[COUNTRY_DESCRIPTION],COUNTRIES[COUNTRY_LABEL],"")</f>
        <v>JP</v>
      </c>
      <c r="G543" t="str" cm="1">
        <f t="array" ref="G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3" t="s">
        <v>17</v>
      </c>
      <c r="I543">
        <v>65</v>
      </c>
      <c r="J543">
        <v>8</v>
      </c>
      <c r="K543">
        <v>8</v>
      </c>
      <c r="L543" t="str" cm="1">
        <f t="array" ref="L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3">
        <f>_xlfn.XLOOKUP("LOADINGSPEEDDEF_"&amp;PROPERTIES[[#This Row],[LOADINGSPEED]],LOADINGSPEEDDEF[TYPE],LOADINGSPEEDDEF[SPEED])</f>
        <v>16</v>
      </c>
      <c r="N543" t="str" cm="1">
        <f t="array" ref="N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3">
        <f>IF(ISNUMBER(SEARCH("passenger",PROPERTIES[[#This Row],[CARGODEF]])),1,0)</f>
        <v>1</v>
      </c>
      <c r="P543" s="29">
        <v>45</v>
      </c>
      <c r="Q543">
        <f>905*2</f>
        <v>1810</v>
      </c>
      <c r="R543">
        <v>270</v>
      </c>
      <c r="S543" s="26">
        <v>60</v>
      </c>
      <c r="T543" s="25">
        <f>IFERROR(PROPERTIES[[#This Row],[TE_STARTING_KN]]/(PROPERTIES[[#This Row],[WEIGHT]]*9.81),0)</f>
        <v>0.13591573224600745</v>
      </c>
      <c r="U543" s="25">
        <v>0.56000000000000005</v>
      </c>
      <c r="V543" s="22">
        <f>ROUND(IF(IFERROR(PROPERTIES[[#This Row],[TE_COEFFICIENT_CALC]],0)=0,PROPERTIES[[#This Row],[TE_COEFFICIENT_MANUAL]],PROPERTIES[[#This Row],[TE_COEFFICIENT_CALC]]),3)</f>
        <v>0.13600000000000001</v>
      </c>
      <c r="W543" s="10" cm="1">
        <f t="array" ref="W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3" s="32">
        <v>100</v>
      </c>
      <c r="Y543" s="8">
        <v>8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8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9" t="b">
        <v>0</v>
      </c>
      <c r="AY543"/>
      <c r="AZ543"/>
      <c r="BA543"/>
    </row>
    <row r="544" spans="1:53">
      <c r="A544" s="2" t="s">
        <v>565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t="s">
        <v>1810</v>
      </c>
      <c r="F544" t="str">
        <f>_xlfn.XLOOKUP(PROPERTIES[[#This Row],[COUNTRY]],COUNTRIES[COUNTRY_DESCRIPTION],COUNTRIES[COUNTRY_LABEL],"")</f>
        <v>JP</v>
      </c>
      <c r="G544" t="str" cm="1">
        <f t="array" ref="G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4" t="s">
        <v>17</v>
      </c>
      <c r="I544">
        <v>80</v>
      </c>
      <c r="J544">
        <v>8</v>
      </c>
      <c r="K544">
        <v>8</v>
      </c>
      <c r="L544" t="str" cm="1">
        <f t="array" ref="L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4">
        <f>_xlfn.XLOOKUP("LOADINGSPEEDDEF_"&amp;PROPERTIES[[#This Row],[LOADINGSPEED]],LOADINGSPEEDDEF[TYPE],LOADINGSPEEDDEF[SPEED])</f>
        <v>16</v>
      </c>
      <c r="N544" t="str" cm="1">
        <f t="array" ref="N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4">
        <f>IF(ISNUMBER(SEARCH("passenger",PROPERTIES[[#This Row],[CARGODEF]])),1,0)</f>
        <v>1</v>
      </c>
      <c r="P544" s="29">
        <v>59.2</v>
      </c>
      <c r="Q544">
        <f>1395*2</f>
        <v>2790</v>
      </c>
      <c r="R544">
        <v>240</v>
      </c>
      <c r="S544" s="26">
        <v>80</v>
      </c>
      <c r="T544" s="25">
        <f>IFERROR(PROPERTIES[[#This Row],[TE_STARTING_KN]]/(PROPERTIES[[#This Row],[WEIGHT]]*9.81),0)</f>
        <v>0.13775243133041296</v>
      </c>
      <c r="U544" s="25">
        <v>0.3</v>
      </c>
      <c r="V544" s="22">
        <f>ROUND(IF(IFERROR(PROPERTIES[[#This Row],[TE_COEFFICIENT_CALC]],0)=0,PROPERTIES[[#This Row],[TE_COEFFICIENT_MANUAL]],PROPERTIES[[#This Row],[TE_COEFFICIENT_CALC]]),3)</f>
        <v>0.13800000000000001</v>
      </c>
      <c r="W544" s="10" cm="1">
        <f t="array" ref="W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4" s="32">
        <v>103</v>
      </c>
      <c r="Y544" s="8">
        <v>8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8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9" t="b">
        <v>0</v>
      </c>
      <c r="AY544"/>
      <c r="AZ544"/>
      <c r="BA544"/>
    </row>
    <row r="545" spans="1:53">
      <c r="A545" s="2" t="s">
        <v>566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t="s">
        <v>1830</v>
      </c>
      <c r="F545" t="str">
        <f>_xlfn.XLOOKUP(PROPERTIES[[#This Row],[COUNTRY]],COUNTRIES[COUNTRY_DESCRIPTION],COUNTRIES[COUNTRY_LABEL],"")</f>
        <v>LU</v>
      </c>
      <c r="G545" t="str" cm="1">
        <f t="array" ref="G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5" t="s">
        <v>17</v>
      </c>
      <c r="I545">
        <v>111</v>
      </c>
      <c r="J545">
        <v>8</v>
      </c>
      <c r="K545">
        <v>8</v>
      </c>
      <c r="L545" t="str" cm="1">
        <f t="array" ref="L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5">
        <f>_xlfn.XLOOKUP("LOADINGSPEEDDEF_"&amp;PROPERTIES[[#This Row],[LOADINGSPEED]],LOADINGSPEEDDEF[TYPE],LOADINGSPEEDDEF[SPEED])</f>
        <v>40</v>
      </c>
      <c r="N545" t="str" cm="1">
        <f t="array" ref="N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5">
        <f>IF(ISNUMBER(SEARCH("passenger",PROPERTIES[[#This Row],[CARGODEF]])),1,0)</f>
        <v>1</v>
      </c>
      <c r="P545" s="29">
        <v>64</v>
      </c>
      <c r="Q545">
        <v>3410</v>
      </c>
      <c r="R545">
        <v>160</v>
      </c>
      <c r="S545" s="26">
        <f>240/2</f>
        <v>120</v>
      </c>
      <c r="T545" s="25">
        <f>IFERROR(PROPERTIES[[#This Row],[TE_STARTING_KN]]/(PROPERTIES[[#This Row],[WEIGHT]]*9.81),0)</f>
        <v>0.19113149847094801</v>
      </c>
      <c r="U545" s="25">
        <v>0.26</v>
      </c>
      <c r="V545" s="22">
        <f>ROUND(IF(IFERROR(PROPERTIES[[#This Row],[TE_COEFFICIENT_CALC]],0)=0,PROPERTIES[[#This Row],[TE_COEFFICIENT_MANUAL]],PROPERTIES[[#This Row],[TE_COEFFICIENT_CALC]]),3)</f>
        <v>0.191</v>
      </c>
      <c r="W545" s="10" cm="1">
        <f t="array" ref="W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5" s="32">
        <v>111</v>
      </c>
      <c r="Y545" s="8">
        <v>8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8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9" t="b">
        <v>0</v>
      </c>
      <c r="AY545"/>
      <c r="AZ545"/>
      <c r="BA545"/>
    </row>
    <row r="546" spans="1:53">
      <c r="A546" s="2" t="s">
        <v>567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t="s">
        <v>1840</v>
      </c>
      <c r="F546" t="str">
        <f>_xlfn.XLOOKUP(PROPERTIES[[#This Row],[COUNTRY]],COUNTRIES[COUNTRY_DESCRIPTION],COUNTRIES[COUNTRY_LABEL],"")</f>
        <v>MK</v>
      </c>
      <c r="G546" t="str" cm="1">
        <f t="array" ref="G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6" t="s">
        <v>17</v>
      </c>
      <c r="I546">
        <v>68</v>
      </c>
      <c r="J546">
        <v>8</v>
      </c>
      <c r="K546">
        <v>8</v>
      </c>
      <c r="L546" t="str" cm="1">
        <f t="array" ref="L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6">
        <f>_xlfn.XLOOKUP("LOADINGSPEEDDEF_"&amp;PROPERTIES[[#This Row],[LOADINGSPEED]],LOADINGSPEEDDEF[TYPE],LOADINGSPEEDDEF[SPEED])</f>
        <v>40</v>
      </c>
      <c r="N546" cm="1">
        <f t="array" ref="N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6">
        <f>IF(ISNUMBER(SEARCH("passenger",PROPERTIES[[#This Row],[CARGODEF]])),1,0)</f>
        <v>1</v>
      </c>
      <c r="P546" s="29">
        <v>55</v>
      </c>
      <c r="Q546">
        <v>340</v>
      </c>
      <c r="R546">
        <v>120</v>
      </c>
      <c r="S546" s="26">
        <v>0</v>
      </c>
      <c r="T546" s="25">
        <f>IFERROR(PROPERTIES[[#This Row],[TE_STARTING_KN]]/(PROPERTIES[[#This Row],[WEIGHT]]*9.81),0)</f>
        <v>0</v>
      </c>
      <c r="U546" s="25">
        <v>0.15</v>
      </c>
      <c r="V546" s="22">
        <f>ROUND(IF(IFERROR(PROPERTIES[[#This Row],[TE_COEFFICIENT_CALC]],0)=0,PROPERTIES[[#This Row],[TE_COEFFICIENT_MANUAL]],PROPERTIES[[#This Row],[TE_COEFFICIENT_CALC]]),3)</f>
        <v>0.15</v>
      </c>
      <c r="W546" s="10" cm="1">
        <f t="array" ref="W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6" s="32">
        <v>68</v>
      </c>
      <c r="Y546" s="8">
        <v>8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8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9" t="b">
        <v>0</v>
      </c>
      <c r="AY546"/>
      <c r="AZ546"/>
      <c r="BA546"/>
    </row>
    <row r="547" spans="1:53">
      <c r="A547" s="2" t="s">
        <v>568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t="s">
        <v>1885</v>
      </c>
      <c r="F547" t="str">
        <f>_xlfn.XLOOKUP(PROPERTIES[[#This Row],[COUNTRY]],COUNTRIES[COUNTRY_DESCRIPTION],COUNTRIES[COUNTRY_LABEL],"")</f>
        <v>RO</v>
      </c>
      <c r="G547" t="str" cm="1">
        <f t="array" ref="G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7" t="s">
        <v>17</v>
      </c>
      <c r="I547">
        <f>INT(273/4)</f>
        <v>68</v>
      </c>
      <c r="J547">
        <v>8</v>
      </c>
      <c r="K547">
        <v>8</v>
      </c>
      <c r="L547" t="str" cm="1">
        <f t="array" ref="L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7">
        <f>_xlfn.XLOOKUP("LOADINGSPEEDDEF_"&amp;PROPERTIES[[#This Row],[LOADINGSPEED]],LOADINGSPEEDDEF[TYPE],LOADINGSPEEDDEF[SPEED])</f>
        <v>40</v>
      </c>
      <c r="N547" cm="1">
        <f t="array" ref="N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7">
        <f>IF(ISNUMBER(SEARCH("passenger",PROPERTIES[[#This Row],[CARGODEF]])),1,0)</f>
        <v>1</v>
      </c>
      <c r="P547" s="29">
        <v>35</v>
      </c>
      <c r="Q547">
        <v>824</v>
      </c>
      <c r="R547">
        <v>120</v>
      </c>
      <c r="S547" s="26">
        <v>73.5</v>
      </c>
      <c r="T547" s="25">
        <f>IFERROR(PROPERTIES[[#This Row],[TE_STARTING_KN]]/(PROPERTIES[[#This Row],[WEIGHT]]*9.81),0)</f>
        <v>0.21406727828746175</v>
      </c>
      <c r="U547" s="25">
        <v>0.42</v>
      </c>
      <c r="V547" s="22">
        <f>ROUND(IF(IFERROR(PROPERTIES[[#This Row],[TE_COEFFICIENT_CALC]],0)=0,PROPERTIES[[#This Row],[TE_COEFFICIENT_MANUAL]],PROPERTIES[[#This Row],[TE_COEFFICIENT_CALC]]),3)</f>
        <v>0.214</v>
      </c>
      <c r="W547" s="10" cm="1">
        <f t="array" ref="W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7" s="32">
        <f>INT(273/4)</f>
        <v>68</v>
      </c>
      <c r="Y547" s="8">
        <v>8</v>
      </c>
      <c r="Z547" t="s">
        <v>875</v>
      </c>
      <c r="AA547" t="s">
        <v>869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8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9" t="b">
        <v>0</v>
      </c>
      <c r="AY547"/>
      <c r="AZ547"/>
      <c r="BA547"/>
    </row>
    <row r="548" spans="1:53">
      <c r="A548" s="2" t="s">
        <v>569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t="s">
        <v>1942</v>
      </c>
      <c r="F548" t="str">
        <f>_xlfn.XLOOKUP(PROPERTIES[[#This Row],[COUNTRY]],COUNTRIES[COUNTRY_DESCRIPTION],COUNTRIES[COUNTRY_LABEL],"")</f>
        <v>ZA</v>
      </c>
      <c r="G548" t="str" cm="1">
        <f t="array" ref="G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8" t="s">
        <v>17</v>
      </c>
      <c r="I548">
        <v>64</v>
      </c>
      <c r="J548">
        <v>8</v>
      </c>
      <c r="K548">
        <v>8</v>
      </c>
      <c r="L548" t="str" cm="1">
        <f t="array" ref="L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8">
        <f>_xlfn.XLOOKUP("LOADINGSPEEDDEF_"&amp;PROPERTIES[[#This Row],[LOADINGSPEED]],LOADINGSPEEDDEF[TYPE],LOADINGSPEEDDEF[SPEED])</f>
        <v>40</v>
      </c>
      <c r="N548" t="str" cm="1">
        <f t="array" ref="N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8">
        <f>IF(ISNUMBER(SEARCH("passenger",PROPERTIES[[#This Row],[CARGODEF]])),1,0)</f>
        <v>1</v>
      </c>
      <c r="P548" s="29">
        <v>42</v>
      </c>
      <c r="Q548">
        <v>2253</v>
      </c>
      <c r="R548">
        <v>160</v>
      </c>
      <c r="S548" s="26">
        <f>150/2</f>
        <v>75</v>
      </c>
      <c r="T548" s="25">
        <f>IFERROR(PROPERTIES[[#This Row],[TE_STARTING_KN]]/(PROPERTIES[[#This Row],[WEIGHT]]*9.81),0)</f>
        <v>0.18202999854376001</v>
      </c>
      <c r="U548" s="25">
        <v>0.3</v>
      </c>
      <c r="V548" s="22">
        <f>ROUND(IF(IFERROR(PROPERTIES[[#This Row],[TE_COEFFICIENT_CALC]],0)=0,PROPERTIES[[#This Row],[TE_COEFFICIENT_MANUAL]],PROPERTIES[[#This Row],[TE_COEFFICIENT_CALC]]),3)</f>
        <v>0.182</v>
      </c>
      <c r="W548" s="10" cm="1">
        <f t="array" ref="W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8" s="32">
        <v>64</v>
      </c>
      <c r="Y548" s="8">
        <v>8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8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9" t="b">
        <v>0</v>
      </c>
      <c r="AY548"/>
      <c r="AZ548"/>
      <c r="BA548"/>
    </row>
    <row r="549" spans="1:53">
      <c r="A549" s="2" t="s">
        <v>570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t="s">
        <v>2199</v>
      </c>
      <c r="F549" t="str">
        <f>_xlfn.XLOOKUP(PROPERTIES[[#This Row],[COUNTRY]],COUNTRIES[COUNTRY_DESCRIPTION],COUNTRIES[COUNTRY_LABEL],"")</f>
        <v>TR</v>
      </c>
      <c r="G549" t="str" cm="1">
        <f t="array" ref="G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9" t="s">
        <v>17</v>
      </c>
      <c r="I549">
        <v>81</v>
      </c>
      <c r="J549">
        <v>8</v>
      </c>
      <c r="K549">
        <v>8</v>
      </c>
      <c r="L549" t="str" cm="1">
        <f t="array" ref="L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9">
        <f>_xlfn.XLOOKUP("LOADINGSPEEDDEF_"&amp;PROPERTIES[[#This Row],[LOADINGSPEED]],LOADINGSPEEDDEF[TYPE],LOADINGSPEEDDEF[SPEED])</f>
        <v>40</v>
      </c>
      <c r="N549" cm="1">
        <f t="array" ref="N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9">
        <f>IF(ISNUMBER(SEARCH("passenger",PROPERTIES[[#This Row],[CARGODEF]])),1,0)</f>
        <v>1</v>
      </c>
      <c r="P549" s="29">
        <v>40</v>
      </c>
      <c r="Q549">
        <v>1100</v>
      </c>
      <c r="R549">
        <v>90</v>
      </c>
      <c r="S549" s="26">
        <f>140/2</f>
        <v>70</v>
      </c>
      <c r="T549" s="25">
        <f>IFERROR(PROPERTIES[[#This Row],[TE_STARTING_KN]]/(PROPERTIES[[#This Row],[WEIGHT]]*9.81),0)</f>
        <v>0.1783893985728848</v>
      </c>
      <c r="U549" s="25">
        <v>0.2</v>
      </c>
      <c r="V549" s="22">
        <f>ROUND(IF(IFERROR(PROPERTIES[[#This Row],[TE_COEFFICIENT_CALC]],0)=0,PROPERTIES[[#This Row],[TE_COEFFICIENT_MANUAL]],PROPERTIES[[#This Row],[TE_COEFFICIENT_CALC]]),3)</f>
        <v>0.17799999999999999</v>
      </c>
      <c r="W549" s="10" cm="1">
        <f t="array" ref="W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49" s="32">
        <v>81</v>
      </c>
      <c r="Y549" s="8">
        <v>8</v>
      </c>
      <c r="Z549" t="s">
        <v>3514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8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9" t="b">
        <v>0</v>
      </c>
      <c r="AY549"/>
      <c r="AZ549"/>
      <c r="BA549"/>
    </row>
    <row r="550" spans="1:53">
      <c r="A550" s="2" t="s">
        <v>571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t="s">
        <v>1745</v>
      </c>
      <c r="F550" t="str">
        <f>_xlfn.XLOOKUP(PROPERTIES[[#This Row],[COUNTRY]],COUNTRIES[COUNTRY_DESCRIPTION],COUNTRIES[COUNTRY_LABEL],"")</f>
        <v>CN</v>
      </c>
      <c r="G550" t="str" cm="1">
        <f t="array" ref="G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0" t="s">
        <v>17</v>
      </c>
      <c r="I550">
        <v>70</v>
      </c>
      <c r="J550">
        <v>8</v>
      </c>
      <c r="K550">
        <v>8</v>
      </c>
      <c r="L550" t="str" cm="1">
        <f t="array" ref="L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0">
        <f>_xlfn.XLOOKUP("LOADINGSPEEDDEF_"&amp;PROPERTIES[[#This Row],[LOADINGSPEED]],LOADINGSPEEDDEF[TYPE],LOADINGSPEEDDEF[SPEED])</f>
        <v>16</v>
      </c>
      <c r="N550" t="str" cm="1">
        <f t="array" ref="N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0">
        <f>IF(ISNUMBER(SEARCH("passenger",PROPERTIES[[#This Row],[CARGODEF]])),1,0)</f>
        <v>1</v>
      </c>
      <c r="P550" s="29">
        <v>48</v>
      </c>
      <c r="Q550">
        <f>12840/8*2</f>
        <v>3210</v>
      </c>
      <c r="R550">
        <v>350</v>
      </c>
      <c r="S550" s="26">
        <v>60</v>
      </c>
      <c r="T550" s="25">
        <f>IFERROR(PROPERTIES[[#This Row],[TE_STARTING_KN]]/(PROPERTIES[[#This Row],[WEIGHT]]*9.81),0)</f>
        <v>0.127420998980632</v>
      </c>
      <c r="U550" s="25">
        <v>0.14000000000000001</v>
      </c>
      <c r="V550" s="22">
        <f>ROUND(IF(IFERROR(PROPERTIES[[#This Row],[TE_COEFFICIENT_CALC]],0)=0,PROPERTIES[[#This Row],[TE_COEFFICIENT_MANUAL]],PROPERTIES[[#This Row],[TE_COEFFICIENT_CALC]]),3)</f>
        <v>0.127</v>
      </c>
      <c r="W550" s="10" cm="1">
        <f t="array" ref="W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0" s="32">
        <v>70</v>
      </c>
      <c r="Y550" s="8">
        <v>8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8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9" t="b">
        <v>0</v>
      </c>
      <c r="AY550"/>
      <c r="AZ550"/>
      <c r="BA550"/>
    </row>
    <row r="551" spans="1:53">
      <c r="A551" s="2" t="s">
        <v>572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t="s">
        <v>1928</v>
      </c>
      <c r="F551" t="str">
        <f>_xlfn.XLOOKUP(PROPERTIES[[#This Row],[COUNTRY]],COUNTRIES[COUNTRY_DESCRIPTION],COUNTRIES[COUNTRY_LABEL],"")</f>
        <v>US</v>
      </c>
      <c r="G551" t="str" cm="1">
        <f t="array" ref="G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1" t="s">
        <v>17</v>
      </c>
      <c r="I551">
        <v>72</v>
      </c>
      <c r="J551">
        <v>8</v>
      </c>
      <c r="K551">
        <v>8</v>
      </c>
      <c r="L551" t="str" cm="1">
        <f t="array" ref="L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1">
        <f>_xlfn.XLOOKUP("LOADINGSPEEDDEF_"&amp;PROPERTIES[[#This Row],[LOADINGSPEED]],LOADINGSPEEDDEF[TYPE],LOADINGSPEEDDEF[SPEED])</f>
        <v>40</v>
      </c>
      <c r="N551" cm="1">
        <f t="array" ref="N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1">
        <f>IF(ISNUMBER(SEARCH("passenger",PROPERTIES[[#This Row],[CARGODEF]])),1,0)</f>
        <v>1</v>
      </c>
      <c r="P551" s="29">
        <v>54</v>
      </c>
      <c r="Q551">
        <v>450</v>
      </c>
      <c r="R551">
        <v>105</v>
      </c>
      <c r="S551" s="26">
        <v>80</v>
      </c>
      <c r="T551" s="25">
        <f>IFERROR(PROPERTIES[[#This Row],[TE_STARTING_KN]]/(PROPERTIES[[#This Row],[WEIGHT]]*9.81),0)</f>
        <v>0.15101748027334164</v>
      </c>
      <c r="U551" s="25">
        <v>0.22</v>
      </c>
      <c r="V551" s="22">
        <f>ROUND(IF(IFERROR(PROPERTIES[[#This Row],[TE_COEFFICIENT_CALC]],0)=0,PROPERTIES[[#This Row],[TE_COEFFICIENT_MANUAL]],PROPERTIES[[#This Row],[TE_COEFFICIENT_CALC]]),3)</f>
        <v>0.151</v>
      </c>
      <c r="W551" s="10" cm="1">
        <f t="array" ref="W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51" s="32">
        <v>72</v>
      </c>
      <c r="Y551" s="8">
        <v>8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8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9" t="b">
        <v>0</v>
      </c>
      <c r="AY551"/>
      <c r="AZ551"/>
      <c r="BA551"/>
    </row>
    <row r="552" spans="1:53">
      <c r="A552" s="2" t="s">
        <v>573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t="s">
        <v>1806</v>
      </c>
      <c r="F552" t="str">
        <f>_xlfn.XLOOKUP(PROPERTIES[[#This Row],[COUNTRY]],COUNTRIES[COUNTRY_DESCRIPTION],COUNTRIES[COUNTRY_LABEL],"")</f>
        <v>IT</v>
      </c>
      <c r="G552" t="str" cm="1">
        <f t="array" ref="G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2" t="s">
        <v>17</v>
      </c>
      <c r="I552">
        <v>42</v>
      </c>
      <c r="J552">
        <v>8</v>
      </c>
      <c r="K552">
        <v>8</v>
      </c>
      <c r="L552" t="str" cm="1">
        <f t="array" ref="L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2">
        <f>_xlfn.XLOOKUP("LOADINGSPEEDDEF_"&amp;PROPERTIES[[#This Row],[LOADINGSPEED]],LOADINGSPEEDDEF[TYPE],LOADINGSPEEDDEF[SPEED])</f>
        <v>16</v>
      </c>
      <c r="N552" t="str" cm="1">
        <f t="array" ref="N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2">
        <f>IF(ISNUMBER(SEARCH("passenger",PROPERTIES[[#This Row],[CARGODEF]])),1,0)</f>
        <v>1</v>
      </c>
      <c r="P552" s="29">
        <f>272/7</f>
        <v>38.857142857142854</v>
      </c>
      <c r="Q552">
        <f>1020*2</f>
        <v>2040</v>
      </c>
      <c r="R552">
        <v>360</v>
      </c>
      <c r="S552" s="26">
        <v>30</v>
      </c>
      <c r="T552" s="25">
        <f>IFERROR(PROPERTIES[[#This Row],[TE_STARTING_KN]]/(PROPERTIES[[#This Row],[WEIGHT]]*9.81),0)</f>
        <v>7.8701205252743295E-2</v>
      </c>
      <c r="U552" s="25">
        <v>0.9</v>
      </c>
      <c r="V552" s="22">
        <f>ROUND(IF(IFERROR(PROPERTIES[[#This Row],[TE_COEFFICIENT_CALC]],0)=0,PROPERTIES[[#This Row],[TE_COEFFICIENT_MANUAL]],PROPERTIES[[#This Row],[TE_COEFFICIENT_CALC]]),3)</f>
        <v>7.9000000000000001E-2</v>
      </c>
      <c r="W552" s="10" cm="1">
        <f t="array" ref="W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2" s="32">
        <v>42</v>
      </c>
      <c r="Y552" s="8">
        <v>7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8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9" t="b">
        <v>0</v>
      </c>
      <c r="AY552"/>
      <c r="AZ552"/>
      <c r="BA552"/>
    </row>
    <row r="553" spans="1:53">
      <c r="A553" s="2" t="s">
        <v>574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t="s">
        <v>1806</v>
      </c>
      <c r="F553" t="str">
        <f>_xlfn.XLOOKUP(PROPERTIES[[#This Row],[COUNTRY]],COUNTRIES[COUNTRY_DESCRIPTION],COUNTRIES[COUNTRY_LABEL],"")</f>
        <v>IT</v>
      </c>
      <c r="G553" t="str" cm="1">
        <f t="array" ref="G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3" t="s">
        <v>17</v>
      </c>
      <c r="I553">
        <v>80</v>
      </c>
      <c r="J553">
        <v>8</v>
      </c>
      <c r="K553">
        <v>8</v>
      </c>
      <c r="L553" t="str" cm="1">
        <f t="array" ref="L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3">
        <f>_xlfn.XLOOKUP("LOADINGSPEEDDEF_"&amp;PROPERTIES[[#This Row],[LOADINGSPEED]],LOADINGSPEEDDEF[TYPE],LOADINGSPEEDDEF[SPEED])</f>
        <v>16</v>
      </c>
      <c r="N553" t="str" cm="1">
        <f t="array" ref="N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3">
        <f>IF(ISNUMBER(SEARCH("passenger",PROPERTIES[[#This Row],[CARGODEF]])),1,0)</f>
        <v>1</v>
      </c>
      <c r="P553" s="29">
        <v>44</v>
      </c>
      <c r="Q553">
        <f>INT(9000*1.38/8)*2</f>
        <v>3104</v>
      </c>
      <c r="R553">
        <v>360</v>
      </c>
      <c r="S553" s="26">
        <v>200</v>
      </c>
      <c r="T553" s="25">
        <f>IFERROR(PROPERTIES[[#This Row],[TE_STARTING_KN]]/(PROPERTIES[[#This Row],[WEIGHT]]*9.81),0)</f>
        <v>0.46334908720229817</v>
      </c>
      <c r="U553" s="25">
        <v>0.83</v>
      </c>
      <c r="V553" s="22">
        <f>ROUND(IF(IFERROR(PROPERTIES[[#This Row],[TE_COEFFICIENT_CALC]],0)=0,PROPERTIES[[#This Row],[TE_COEFFICIENT_MANUAL]],PROPERTIES[[#This Row],[TE_COEFFICIENT_CALC]]),3)</f>
        <v>0.46300000000000002</v>
      </c>
      <c r="W553" s="10" cm="1">
        <f t="array" ref="W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3" s="32">
        <v>100</v>
      </c>
      <c r="Y553" s="8">
        <v>7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8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9" t="b">
        <v>0</v>
      </c>
      <c r="AY553"/>
      <c r="AZ553"/>
      <c r="BA553"/>
    </row>
    <row r="554" spans="1:53">
      <c r="A554" s="2" t="s">
        <v>575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t="s">
        <v>1862</v>
      </c>
      <c r="F554" t="str">
        <f>_xlfn.XLOOKUP(PROPERTIES[[#This Row],[COUNTRY]],COUNTRIES[COUNTRY_DESCRIPTION],COUNTRIES[COUNTRY_LABEL],"")</f>
        <v>NL</v>
      </c>
      <c r="G554" t="str" cm="1">
        <f t="array" ref="G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4" t="s">
        <v>17</v>
      </c>
      <c r="I554">
        <v>71</v>
      </c>
      <c r="J554">
        <v>8</v>
      </c>
      <c r="K554">
        <v>8</v>
      </c>
      <c r="L554" t="str" cm="1">
        <f t="array" ref="L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4">
        <f>_xlfn.XLOOKUP("LOADINGSPEEDDEF_"&amp;PROPERTIES[[#This Row],[LOADINGSPEED]],LOADINGSPEEDDEF[TYPE],LOADINGSPEEDDEF[SPEED])</f>
        <v>16</v>
      </c>
      <c r="N554" t="str" cm="1">
        <f t="array" ref="N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4">
        <f>IF(ISNUMBER(SEARCH("passenger",PROPERTIES[[#This Row],[CARGODEF]])),1,0)</f>
        <v>1</v>
      </c>
      <c r="P554" s="29">
        <v>61</v>
      </c>
      <c r="Q554">
        <f>1810*2</f>
        <v>3620</v>
      </c>
      <c r="R554">
        <v>251</v>
      </c>
      <c r="S554" s="26">
        <f>300/2</f>
        <v>150</v>
      </c>
      <c r="T554" s="25">
        <f>IFERROR(PROPERTIES[[#This Row],[TE_STARTING_KN]]/(PROPERTIES[[#This Row],[WEIGHT]]*9.81),0)</f>
        <v>0.25066426028976785</v>
      </c>
      <c r="U554" s="25">
        <v>0.52</v>
      </c>
      <c r="V554" s="22">
        <f>ROUND(IF(IFERROR(PROPERTIES[[#This Row],[TE_COEFFICIENT_CALC]],0)=0,PROPERTIES[[#This Row],[TE_COEFFICIENT_MANUAL]],PROPERTIES[[#This Row],[TE_COEFFICIENT_CALC]]),3)</f>
        <v>0.251</v>
      </c>
      <c r="W554" s="10" cm="1">
        <f t="array" ref="W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4" s="32">
        <v>71</v>
      </c>
      <c r="Y554" s="8">
        <v>8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8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9" t="b">
        <v>0</v>
      </c>
      <c r="AY554"/>
      <c r="AZ554"/>
      <c r="BA554"/>
    </row>
    <row r="555" spans="1:53">
      <c r="A555" s="2" t="s">
        <v>576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t="s">
        <v>1862</v>
      </c>
      <c r="F555" t="str">
        <f>_xlfn.XLOOKUP(PROPERTIES[[#This Row],[COUNTRY]],COUNTRIES[COUNTRY_DESCRIPTION],COUNTRIES[COUNTRY_LABEL],"")</f>
        <v>NL</v>
      </c>
      <c r="G555" t="str" cm="1">
        <f t="array" ref="G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5" t="s">
        <v>17</v>
      </c>
      <c r="I555">
        <v>42</v>
      </c>
      <c r="J555">
        <v>8</v>
      </c>
      <c r="K555">
        <v>8</v>
      </c>
      <c r="L555" t="str" cm="1">
        <f t="array" ref="L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5">
        <f>_xlfn.XLOOKUP("LOADINGSPEEDDEF_"&amp;PROPERTIES[[#This Row],[LOADINGSPEED]],LOADINGSPEEDDEF[TYPE],LOADINGSPEEDDEF[SPEED])</f>
        <v>16</v>
      </c>
      <c r="N555" t="str" cm="1">
        <f t="array" ref="N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5">
        <f>IF(ISNUMBER(SEARCH("passenger",PROPERTIES[[#This Row],[CARGODEF]])),1,0)</f>
        <v>1</v>
      </c>
      <c r="P555" s="29">
        <v>52</v>
      </c>
      <c r="Q555">
        <f>2213*2</f>
        <v>4426</v>
      </c>
      <c r="R555">
        <v>300</v>
      </c>
      <c r="S555" s="26">
        <v>150</v>
      </c>
      <c r="T555" s="25">
        <f>IFERROR(PROPERTIES[[#This Row],[TE_STARTING_KN]]/(PROPERTIES[[#This Row],[WEIGHT]]*9.81),0)</f>
        <v>0.29404845918607386</v>
      </c>
      <c r="U555" s="25">
        <v>0.8</v>
      </c>
      <c r="V555" s="22">
        <f>ROUND(IF(IFERROR(PROPERTIES[[#This Row],[TE_COEFFICIENT_CALC]],0)=0,PROPERTIES[[#This Row],[TE_COEFFICIENT_MANUAL]],PROPERTIES[[#This Row],[TE_COEFFICIENT_CALC]]),3)</f>
        <v>0.29399999999999998</v>
      </c>
      <c r="W555" s="10" cm="1">
        <f t="array" ref="W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5" s="32">
        <v>42</v>
      </c>
      <c r="Y555" s="8">
        <v>8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8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9" t="b">
        <v>0</v>
      </c>
      <c r="AY555"/>
      <c r="AZ555"/>
      <c r="BA555"/>
    </row>
    <row r="556" spans="1:53">
      <c r="A556" s="2" t="s">
        <v>577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t="s">
        <v>1740</v>
      </c>
      <c r="F556" t="str">
        <f>_xlfn.XLOOKUP(PROPERTIES[[#This Row],[COUNTRY]],COUNTRIES[COUNTRY_DESCRIPTION],COUNTRIES[COUNTRY_LABEL],"")</f>
        <v>CH</v>
      </c>
      <c r="G556" t="str" cm="1">
        <f t="array" ref="G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6" t="s">
        <v>17</v>
      </c>
      <c r="I556">
        <f>INT(168+126+54)/6</f>
        <v>58</v>
      </c>
      <c r="J556">
        <v>8</v>
      </c>
      <c r="K556">
        <v>8</v>
      </c>
      <c r="L556" t="str" cm="1">
        <f t="array" ref="L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6">
        <f>_xlfn.XLOOKUP("LOADINGSPEEDDEF_"&amp;PROPERTIES[[#This Row],[LOADINGSPEED]],LOADINGSPEEDDEF[TYPE],LOADINGSPEEDDEF[SPEED])</f>
        <v>40</v>
      </c>
      <c r="N556" cm="1">
        <f t="array" ref="N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6">
        <f>IF(ISNUMBER(SEARCH("passenger",PROPERTIES[[#This Row],[CARGODEF]])),1,0)</f>
        <v>1</v>
      </c>
      <c r="P556" s="29">
        <f>296/6</f>
        <v>49.333333333333336</v>
      </c>
      <c r="Q556">
        <v>3100</v>
      </c>
      <c r="R556">
        <v>160</v>
      </c>
      <c r="S556" s="26">
        <f>188/2</f>
        <v>94</v>
      </c>
      <c r="T556" s="25">
        <f>IFERROR(PROPERTIES[[#This Row],[TE_STARTING_KN]]/(PROPERTIES[[#This Row],[WEIGHT]]*9.81),0)</f>
        <v>0.19423092817588228</v>
      </c>
      <c r="U556" s="25">
        <v>0.26</v>
      </c>
      <c r="V556" s="22">
        <f>ROUND(IF(IFERROR(PROPERTIES[[#This Row],[TE_COEFFICIENT_CALC]],0)=0,PROPERTIES[[#This Row],[TE_COEFFICIENT_MANUAL]],PROPERTIES[[#This Row],[TE_COEFFICIENT_CALC]]),3)</f>
        <v>0.19400000000000001</v>
      </c>
      <c r="W556" s="10" cm="1">
        <f t="array" ref="W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6" s="32">
        <f>INT(168+126+54)/6</f>
        <v>58</v>
      </c>
      <c r="Y556" s="8">
        <v>8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8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9" t="b">
        <v>0</v>
      </c>
      <c r="AY556"/>
      <c r="AZ556"/>
      <c r="BA556"/>
    </row>
    <row r="557" spans="1:53">
      <c r="A557" s="2" t="s">
        <v>578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t="s">
        <v>1928</v>
      </c>
      <c r="F557" t="str">
        <f>_xlfn.XLOOKUP(PROPERTIES[[#This Row],[COUNTRY]],COUNTRIES[COUNTRY_DESCRIPTION],COUNTRIES[COUNTRY_LABEL],"")</f>
        <v>US</v>
      </c>
      <c r="G557" t="str" cm="1">
        <f t="array" ref="G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7" t="s">
        <v>17</v>
      </c>
      <c r="I557">
        <v>82</v>
      </c>
      <c r="J557">
        <v>8</v>
      </c>
      <c r="K557">
        <v>8</v>
      </c>
      <c r="L557" t="str" cm="1">
        <f t="array" ref="L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7">
        <f>_xlfn.XLOOKUP("LOADINGSPEEDDEF_"&amp;PROPERTIES[[#This Row],[LOADINGSPEED]],LOADINGSPEEDDEF[TYPE],LOADINGSPEEDDEF[SPEED])</f>
        <v>40</v>
      </c>
      <c r="N557" cm="1">
        <f t="array" ref="N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7">
        <f>IF(ISNUMBER(SEARCH("passenger",PROPERTIES[[#This Row],[CARGODEF]])),1,0)</f>
        <v>1</v>
      </c>
      <c r="P557" s="29">
        <v>61</v>
      </c>
      <c r="Q557">
        <v>1020</v>
      </c>
      <c r="R557">
        <v>101</v>
      </c>
      <c r="S557" s="26">
        <v>135</v>
      </c>
      <c r="T557" s="25">
        <f>IFERROR(PROPERTIES[[#This Row],[TE_STARTING_KN]]/(PROPERTIES[[#This Row],[WEIGHT]]*9.81),0)</f>
        <v>0.22559783426079105</v>
      </c>
      <c r="U557" s="25">
        <v>0.25</v>
      </c>
      <c r="V557" s="22">
        <f>ROUND(IF(IFERROR(PROPERTIES[[#This Row],[TE_COEFFICIENT_CALC]],0)=0,PROPERTIES[[#This Row],[TE_COEFFICIENT_MANUAL]],PROPERTIES[[#This Row],[TE_COEFFICIENT_CALC]]),3)</f>
        <v>0.22600000000000001</v>
      </c>
      <c r="W557" s="10" cm="1">
        <f t="array" ref="W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557" s="32">
        <v>84</v>
      </c>
      <c r="Y557" s="8">
        <v>8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8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9" t="b">
        <v>0</v>
      </c>
      <c r="AY557"/>
      <c r="AZ557"/>
      <c r="BA557"/>
    </row>
    <row r="558" spans="1:53">
      <c r="A558" s="2" t="s">
        <v>579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t="s">
        <v>1772</v>
      </c>
      <c r="F558" t="str">
        <f>_xlfn.XLOOKUP(PROPERTIES[[#This Row],[COUNTRY]],COUNTRIES[COUNTRY_DESCRIPTION],COUNTRIES[COUNTRY_LABEL],"")</f>
        <v>FR</v>
      </c>
      <c r="G558" t="str" cm="1">
        <f t="array" ref="G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8" t="s">
        <v>17</v>
      </c>
      <c r="I558">
        <v>0</v>
      </c>
      <c r="J558">
        <v>8</v>
      </c>
      <c r="K558">
        <v>8</v>
      </c>
      <c r="L558" t="str" cm="1">
        <f t="array" ref="L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8">
        <f>_xlfn.XLOOKUP("LOADINGSPEEDDEF_"&amp;PROPERTIES[[#This Row],[LOADINGSPEED]],LOADINGSPEEDDEF[TYPE],LOADINGSPEEDDEF[SPEED])</f>
        <v>16</v>
      </c>
      <c r="N558" cm="1">
        <f t="array" ref="N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8">
        <f>IF(ISNUMBER(SEARCH("passenger",PROPERTIES[[#This Row],[CARGODEF]])),1,0)</f>
        <v>1</v>
      </c>
      <c r="P558" s="29">
        <v>68</v>
      </c>
      <c r="Q558">
        <v>9119</v>
      </c>
      <c r="R558">
        <v>240</v>
      </c>
      <c r="S558" s="26">
        <f>210/2</f>
        <v>105</v>
      </c>
      <c r="T558" s="25">
        <f>IFERROR(PROPERTIES[[#This Row],[TE_STARTING_KN]]/(PROPERTIES[[#This Row],[WEIGHT]]*9.81),0)</f>
        <v>0.15740241050548659</v>
      </c>
      <c r="U558" s="25">
        <v>0.92</v>
      </c>
      <c r="V558" s="22">
        <f>ROUND(IF(IFERROR(PROPERTIES[[#This Row],[TE_COEFFICIENT_CALC]],0)=0,PROPERTIES[[#This Row],[TE_COEFFICIENT_MANUAL]],PROPERTIES[[#This Row],[TE_COEFFICIENT_CALC]]),3)</f>
        <v>0.157</v>
      </c>
      <c r="W558" s="10" cm="1">
        <f t="array" ref="W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8" s="32">
        <v>43</v>
      </c>
      <c r="Y558" s="8">
        <v>6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8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9" t="b">
        <v>0</v>
      </c>
      <c r="AY558"/>
      <c r="AZ558"/>
      <c r="BA558"/>
    </row>
    <row r="559" spans="1:53">
      <c r="A559" s="2" t="s">
        <v>580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t="s">
        <v>1772</v>
      </c>
      <c r="F559" t="str">
        <f>_xlfn.XLOOKUP(PROPERTIES[[#This Row],[COUNTRY]],COUNTRIES[COUNTRY_DESCRIPTION],COUNTRIES[COUNTRY_LABEL],"")</f>
        <v>FR</v>
      </c>
      <c r="G559" t="str" cm="1">
        <f t="array" ref="G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9" t="s">
        <v>17</v>
      </c>
      <c r="I559">
        <v>0</v>
      </c>
      <c r="J559">
        <v>8</v>
      </c>
      <c r="K559">
        <v>8</v>
      </c>
      <c r="L559" t="str" cm="1">
        <f t="array" ref="L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9">
        <f>_xlfn.XLOOKUP("LOADINGSPEEDDEF_"&amp;PROPERTIES[[#This Row],[LOADINGSPEED]],LOADINGSPEEDDEF[TYPE],LOADINGSPEEDDEF[SPEED])</f>
        <v>16</v>
      </c>
      <c r="N559" t="str" cm="1">
        <f t="array" ref="N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9">
        <f>IF(ISNUMBER(SEARCH("passenger",PROPERTIES[[#This Row],[CARGODEF]])),1,0)</f>
        <v>1</v>
      </c>
      <c r="P559" s="29">
        <v>68</v>
      </c>
      <c r="Q559">
        <v>11800</v>
      </c>
      <c r="R559">
        <v>320</v>
      </c>
      <c r="S559" s="26">
        <f t="shared" ref="S559" si="0">220/2</f>
        <v>110</v>
      </c>
      <c r="T559" s="25">
        <f>IFERROR(PROPERTIES[[#This Row],[TE_STARTING_KN]]/(PROPERTIES[[#This Row],[WEIGHT]]*9.81),0)</f>
        <v>0.16489776338670023</v>
      </c>
      <c r="U559" s="25">
        <v>0.81</v>
      </c>
      <c r="V559" s="22">
        <f>ROUND(IF(IFERROR(PROPERTIES[[#This Row],[TE_COEFFICIENT_CALC]],0)=0,PROPERTIES[[#This Row],[TE_COEFFICIENT_MANUAL]],PROPERTIES[[#This Row],[TE_COEFFICIENT_CALC]]),3)</f>
        <v>0.16500000000000001</v>
      </c>
      <c r="W559" s="10" cm="1">
        <f t="array" ref="W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9" s="32">
        <v>72</v>
      </c>
      <c r="Y559" s="8">
        <v>6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8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9" t="b">
        <v>0</v>
      </c>
      <c r="AY559"/>
      <c r="AZ559"/>
      <c r="BA559"/>
    </row>
    <row r="560" spans="1:53">
      <c r="A560" s="2" t="s">
        <v>581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t="s">
        <v>1772</v>
      </c>
      <c r="F560" t="str">
        <f>_xlfn.XLOOKUP(PROPERTIES[[#This Row],[COUNTRY]],COUNTRIES[COUNTRY_DESCRIPTION],COUNTRIES[COUNTRY_LABEL],"")</f>
        <v>FR</v>
      </c>
      <c r="G560" t="str" cm="1">
        <f t="array" ref="G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0" t="s">
        <v>17</v>
      </c>
      <c r="I560">
        <v>0</v>
      </c>
      <c r="J560">
        <v>8</v>
      </c>
      <c r="K560">
        <v>8</v>
      </c>
      <c r="L560" t="str" cm="1">
        <f t="array" ref="L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0">
        <f>_xlfn.XLOOKUP("LOADINGSPEEDDEF_"&amp;PROPERTIES[[#This Row],[LOADINGSPEED]],LOADINGSPEEDDEF[TYPE],LOADINGSPEEDDEF[SPEED])</f>
        <v>16</v>
      </c>
      <c r="N560" t="str" cm="1">
        <f t="array" ref="N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0">
        <f>IF(ISNUMBER(SEARCH("passenger",PROPERTIES[[#This Row],[CARGODEF]])),1,0)</f>
        <v>1</v>
      </c>
      <c r="P560" s="29">
        <v>68</v>
      </c>
      <c r="Q560">
        <v>11800</v>
      </c>
      <c r="R560">
        <v>300</v>
      </c>
      <c r="S560" s="26">
        <f>210/2</f>
        <v>105</v>
      </c>
      <c r="T560" s="25">
        <f>IFERROR(PROPERTIES[[#This Row],[TE_STARTING_KN]]/(PROPERTIES[[#This Row],[WEIGHT]]*9.81),0)</f>
        <v>0.15740241050548659</v>
      </c>
      <c r="U560" s="25">
        <v>0.85</v>
      </c>
      <c r="V560" s="22">
        <f>ROUND(IF(IFERROR(PROPERTIES[[#This Row],[TE_COEFFICIENT_CALC]],0)=0,PROPERTIES[[#This Row],[TE_COEFFICIENT_MANUAL]],PROPERTIES[[#This Row],[TE_COEFFICIENT_CALC]]),3)</f>
        <v>0.157</v>
      </c>
      <c r="W560" s="10" cm="1">
        <f t="array" ref="W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0" s="32">
        <v>47</v>
      </c>
      <c r="Y560" s="8">
        <v>6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8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9" t="b">
        <v>0</v>
      </c>
      <c r="AY560"/>
      <c r="AZ560"/>
      <c r="BA560"/>
    </row>
    <row r="561" spans="1:53">
      <c r="A561" s="2" t="s">
        <v>582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t="s">
        <v>1753</v>
      </c>
      <c r="F561" t="str">
        <f>_xlfn.XLOOKUP(PROPERTIES[[#This Row],[COUNTRY]],COUNTRIES[COUNTRY_DESCRIPTION],COUNTRIES[COUNTRY_LABEL],"")</f>
        <v>CZ</v>
      </c>
      <c r="G561" t="str" cm="1">
        <f t="array" ref="G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1" t="s">
        <v>17</v>
      </c>
      <c r="I561">
        <v>47</v>
      </c>
      <c r="J561">
        <v>8</v>
      </c>
      <c r="K561">
        <v>8</v>
      </c>
      <c r="L561" t="str" cm="1">
        <f t="array" ref="L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1">
        <f>_xlfn.XLOOKUP("LOADINGSPEEDDEF_"&amp;PROPERTIES[[#This Row],[LOADINGSPEED]],LOADINGSPEEDDEF[TYPE],LOADINGSPEEDDEF[SPEED])</f>
        <v>16</v>
      </c>
      <c r="N561" t="str" cm="1">
        <f t="array" ref="N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1">
        <f>IF(ISNUMBER(SEARCH("passenger",PROPERTIES[[#This Row],[CARGODEF]])),1,0)</f>
        <v>1</v>
      </c>
      <c r="P561" s="29">
        <v>55</v>
      </c>
      <c r="Q561">
        <v>1318</v>
      </c>
      <c r="R561">
        <v>200</v>
      </c>
      <c r="S561" s="26">
        <v>50</v>
      </c>
      <c r="T561" s="25">
        <f>IFERROR(PROPERTIES[[#This Row],[TE_STARTING_KN]]/(PROPERTIES[[#This Row],[WEIGHT]]*9.81),0)</f>
        <v>9.2669817440459629E-2</v>
      </c>
      <c r="U561" s="25">
        <v>0.67</v>
      </c>
      <c r="V561" s="22">
        <f>ROUND(IF(IFERROR(PROPERTIES[[#This Row],[TE_COEFFICIENT_CALC]],0)=0,PROPERTIES[[#This Row],[TE_COEFFICIENT_MANUAL]],PROPERTIES[[#This Row],[TE_COEFFICIENT_CALC]]),3)</f>
        <v>9.2999999999999999E-2</v>
      </c>
      <c r="W561" s="10" cm="1">
        <f t="array" ref="W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1" s="32">
        <v>47</v>
      </c>
      <c r="Y561" s="8">
        <v>8</v>
      </c>
      <c r="Z561" t="s">
        <v>878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8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9" t="b">
        <v>0</v>
      </c>
      <c r="AY561"/>
      <c r="AZ561"/>
      <c r="BA561"/>
    </row>
    <row r="562" spans="1:53">
      <c r="A562" s="2" t="s">
        <v>583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t="s">
        <v>1765</v>
      </c>
      <c r="F562" t="str">
        <f>_xlfn.XLOOKUP(PROPERTIES[[#This Row],[COUNTRY]],COUNTRIES[COUNTRY_DESCRIPTION],COUNTRIES[COUNTRY_LABEL],"")</f>
        <v>ES</v>
      </c>
      <c r="G562" t="str" cm="1">
        <f t="array" ref="G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2" t="s">
        <v>17</v>
      </c>
      <c r="I562">
        <v>60</v>
      </c>
      <c r="J562">
        <v>8</v>
      </c>
      <c r="K562">
        <v>8</v>
      </c>
      <c r="L562" t="str" cm="1">
        <f t="array" ref="L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2">
        <f>_xlfn.XLOOKUP("LOADINGSPEEDDEF_"&amp;PROPERTIES[[#This Row],[LOADINGSPEED]],LOADINGSPEEDDEF[TYPE],LOADINGSPEEDDEF[SPEED])</f>
        <v>16</v>
      </c>
      <c r="N562" t="str" cm="1">
        <f t="array" ref="N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2">
        <f>IF(ISNUMBER(SEARCH("passenger",PROPERTIES[[#This Row],[CARGODEF]])),1,0)</f>
        <v>1</v>
      </c>
      <c r="P562" s="29">
        <v>61</v>
      </c>
      <c r="Q562">
        <f>1340*2</f>
        <v>2680</v>
      </c>
      <c r="R562">
        <v>250</v>
      </c>
      <c r="S562" s="26">
        <v>48</v>
      </c>
      <c r="T562" s="25">
        <f>IFERROR(PROPERTIES[[#This Row],[TE_STARTING_KN]]/(PROPERTIES[[#This Row],[WEIGHT]]*9.81),0)</f>
        <v>8.0212563292725705E-2</v>
      </c>
      <c r="U562" s="25">
        <v>0.36</v>
      </c>
      <c r="V562" s="22">
        <f>ROUND(IF(IFERROR(PROPERTIES[[#This Row],[TE_COEFFICIENT_CALC]],0)=0,PROPERTIES[[#This Row],[TE_COEFFICIENT_MANUAL]],PROPERTIES[[#This Row],[TE_COEFFICIENT_CALC]]),3)</f>
        <v>0.08</v>
      </c>
      <c r="W562" s="10" cm="1">
        <f t="array" ref="W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2" s="32">
        <v>60</v>
      </c>
      <c r="Y562" s="8">
        <v>8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8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9" t="b">
        <v>0</v>
      </c>
      <c r="AY562"/>
      <c r="AZ562"/>
      <c r="BA562"/>
    </row>
    <row r="563" spans="1:53">
      <c r="A563" s="2" t="s">
        <v>584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t="s">
        <v>1928</v>
      </c>
      <c r="F563" t="str">
        <f>_xlfn.XLOOKUP(PROPERTIES[[#This Row],[COUNTRY]],COUNTRIES[COUNTRY_DESCRIPTION],COUNTRIES[COUNTRY_LABEL],"")</f>
        <v>US</v>
      </c>
      <c r="G563" t="str" cm="1">
        <f t="array" ref="G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3" t="s">
        <v>17</v>
      </c>
      <c r="I563">
        <v>0</v>
      </c>
      <c r="J563">
        <v>8</v>
      </c>
      <c r="K563">
        <v>8</v>
      </c>
      <c r="L563" t="str" cm="1">
        <f t="array" ref="L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3">
        <f>_xlfn.XLOOKUP("LOADINGSPEEDDEF_"&amp;PROPERTIES[[#This Row],[LOADINGSPEED]],LOADINGSPEEDDEF[TYPE],LOADINGSPEEDDEF[SPEED])</f>
        <v>16</v>
      </c>
      <c r="N563" t="str" cm="1">
        <f t="array" ref="N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3">
        <f>IF(ISNUMBER(SEARCH("passenger",PROPERTIES[[#This Row],[CARGODEF]])),1,0)</f>
        <v>1</v>
      </c>
      <c r="P563" s="29">
        <v>93</v>
      </c>
      <c r="Q563">
        <v>6200</v>
      </c>
      <c r="R563">
        <v>240</v>
      </c>
      <c r="S563" s="26">
        <v>220.2</v>
      </c>
      <c r="T563" s="25">
        <f>IFERROR(PROPERTIES[[#This Row],[TE_STARTING_KN]]/(PROPERTIES[[#This Row],[WEIGHT]]*9.81),0)</f>
        <v>0.24136003419815197</v>
      </c>
      <c r="U563" s="25">
        <v>0.24</v>
      </c>
      <c r="V563" s="22">
        <f>ROUND(IF(IFERROR(PROPERTIES[[#This Row],[TE_COEFFICIENT_CALC]],0)=0,PROPERTIES[[#This Row],[TE_COEFFICIENT_MANUAL]],PROPERTIES[[#This Row],[TE_COEFFICIENT_CALC]]),3)</f>
        <v>0.24099999999999999</v>
      </c>
      <c r="W563" s="10" cm="1">
        <f t="array" ref="W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3" s="32">
        <v>50</v>
      </c>
      <c r="Y563" s="8">
        <v>8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8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9" t="b">
        <v>0</v>
      </c>
      <c r="AY563"/>
      <c r="AZ563"/>
      <c r="BA563"/>
    </row>
    <row r="564" spans="1:53">
      <c r="A564" s="2" t="s">
        <v>585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t="s">
        <v>1928</v>
      </c>
      <c r="F564" t="str">
        <f>_xlfn.XLOOKUP(PROPERTIES[[#This Row],[COUNTRY]],COUNTRIES[COUNTRY_DESCRIPTION],COUNTRIES[COUNTRY_LABEL],"")</f>
        <v>US</v>
      </c>
      <c r="G564" t="str" cm="1">
        <f t="array" ref="G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4" t="s">
        <v>320</v>
      </c>
      <c r="I564">
        <v>48</v>
      </c>
      <c r="J564">
        <v>7</v>
      </c>
      <c r="K564">
        <v>7</v>
      </c>
      <c r="L564" t="str" cm="1">
        <f t="array" ref="L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4">
        <f>_xlfn.XLOOKUP("LOADINGSPEEDDEF_"&amp;PROPERTIES[[#This Row],[LOADINGSPEED]],LOADINGSPEEDDEF[TYPE],LOADINGSPEEDDEF[SPEED])</f>
        <v>120</v>
      </c>
      <c r="N564" cm="1">
        <f t="array" ref="N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4">
        <f>IF(ISNUMBER(SEARCH("passenger",PROPERTIES[[#This Row],[CARGODEF]])),1,0)</f>
        <v>1</v>
      </c>
      <c r="P564" s="29">
        <v>28</v>
      </c>
      <c r="Q564">
        <v>200</v>
      </c>
      <c r="R564">
        <v>50</v>
      </c>
      <c r="S564" s="26">
        <v>25</v>
      </c>
      <c r="T564" s="25">
        <f>IFERROR(PROPERTIES[[#This Row],[TE_STARTING_KN]]/(PROPERTIES[[#This Row],[WEIGHT]]*9.81),0)</f>
        <v>9.1014999271880004E-2</v>
      </c>
      <c r="U564" s="25">
        <v>0.5</v>
      </c>
      <c r="V564" s="22">
        <f>ROUND(IF(IFERROR(PROPERTIES[[#This Row],[TE_COEFFICIENT_CALC]],0)=0,PROPERTIES[[#This Row],[TE_COEFFICIENT_MANUAL]],PROPERTIES[[#This Row],[TE_COEFFICIENT_CALC]]),3)</f>
        <v>9.0999999999999998E-2</v>
      </c>
      <c r="W564" s="10" cm="1">
        <f t="array" ref="W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4" s="32">
        <v>0</v>
      </c>
      <c r="Y564" s="8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8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9" t="b">
        <v>0</v>
      </c>
      <c r="AY564"/>
      <c r="AZ564"/>
      <c r="BA564"/>
    </row>
    <row r="565" spans="1:53">
      <c r="A565" s="2" t="s">
        <v>586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t="s">
        <v>1796</v>
      </c>
      <c r="F565" t="str">
        <f>_xlfn.XLOOKUP(PROPERTIES[[#This Row],[COUNTRY]],COUNTRIES[COUNTRY_DESCRIPTION],COUNTRIES[COUNTRY_LABEL],"")</f>
        <v>HU</v>
      </c>
      <c r="G565" t="str" cm="1">
        <f t="array" ref="G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5" t="s">
        <v>320</v>
      </c>
      <c r="I565">
        <v>46</v>
      </c>
      <c r="J565">
        <v>8</v>
      </c>
      <c r="K565">
        <v>8</v>
      </c>
      <c r="L565" t="str" cm="1">
        <f t="array" ref="L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5">
        <f>_xlfn.XLOOKUP("LOADINGSPEEDDEF_"&amp;PROPERTIES[[#This Row],[LOADINGSPEED]],LOADINGSPEEDDEF[TYPE],LOADINGSPEEDDEF[SPEED])</f>
        <v>120</v>
      </c>
      <c r="N565" cm="1">
        <f t="array" ref="N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5">
        <f>IF(ISNUMBER(SEARCH("passenger",PROPERTIES[[#This Row],[CARGODEF]])),1,0)</f>
        <v>1</v>
      </c>
      <c r="P565" s="29">
        <v>16.5</v>
      </c>
      <c r="Q565">
        <v>200</v>
      </c>
      <c r="R565">
        <v>60</v>
      </c>
      <c r="S565" s="26">
        <v>18</v>
      </c>
      <c r="T565" s="25">
        <f>IFERROR(PROPERTIES[[#This Row],[TE_STARTING_KN]]/(PROPERTIES[[#This Row],[WEIGHT]]*9.81),0)</f>
        <v>0.11120378092855157</v>
      </c>
      <c r="U565" s="25">
        <v>0.32</v>
      </c>
      <c r="V565" s="22">
        <f>ROUND(IF(IFERROR(PROPERTIES[[#This Row],[TE_COEFFICIENT_CALC]],0)=0,PROPERTIES[[#This Row],[TE_COEFFICIENT_MANUAL]],PROPERTIES[[#This Row],[TE_COEFFICIENT_CALC]]),3)</f>
        <v>0.111</v>
      </c>
      <c r="W565" s="10" cm="1">
        <f t="array" ref="W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565" s="32">
        <v>0</v>
      </c>
      <c r="Y565" s="8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8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9" t="b">
        <v>0</v>
      </c>
      <c r="AY565"/>
      <c r="AZ565"/>
      <c r="BA565"/>
    </row>
    <row r="566" spans="1:53">
      <c r="A566" s="2" t="s">
        <v>587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t="s">
        <v>1928</v>
      </c>
      <c r="F566" t="str">
        <f>_xlfn.XLOOKUP(PROPERTIES[[#This Row],[COUNTRY]],COUNTRIES[COUNTRY_DESCRIPTION],COUNTRIES[COUNTRY_LABEL],"")</f>
        <v>US</v>
      </c>
      <c r="G566" t="str" cm="1">
        <f t="array" ref="G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6" t="s">
        <v>320</v>
      </c>
      <c r="I566">
        <v>130</v>
      </c>
      <c r="J566">
        <v>8</v>
      </c>
      <c r="K566">
        <v>8</v>
      </c>
      <c r="L566" t="str" cm="1">
        <f t="array" ref="L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6">
        <f>_xlfn.XLOOKUP("LOADINGSPEEDDEF_"&amp;PROPERTIES[[#This Row],[LOADINGSPEED]],LOADINGSPEEDDEF[TYPE],LOADINGSPEEDDEF[SPEED])</f>
        <v>120</v>
      </c>
      <c r="N566" cm="1">
        <f t="array" ref="N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6">
        <f>IF(ISNUMBER(SEARCH("passenger",PROPERTIES[[#This Row],[CARGODEF]])),1,0)</f>
        <v>1</v>
      </c>
      <c r="P566" s="29">
        <v>31.5</v>
      </c>
      <c r="Q566">
        <v>250</v>
      </c>
      <c r="R566">
        <v>70</v>
      </c>
      <c r="S566" s="26">
        <v>38</v>
      </c>
      <c r="T566" s="25">
        <f>IFERROR(PROPERTIES[[#This Row],[TE_STARTING_KN]]/(PROPERTIES[[#This Row],[WEIGHT]]*9.81),0)</f>
        <v>0.12297137679400674</v>
      </c>
      <c r="U566" s="25">
        <v>0.1</v>
      </c>
      <c r="V566" s="22">
        <f>ROUND(IF(IFERROR(PROPERTIES[[#This Row],[TE_COEFFICIENT_CALC]],0)=0,PROPERTIES[[#This Row],[TE_COEFFICIENT_MANUAL]],PROPERTIES[[#This Row],[TE_COEFFICIENT_CALC]]),3)</f>
        <v>0.123</v>
      </c>
      <c r="W566" s="10" cm="1">
        <f t="array" ref="W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6" s="32">
        <v>0</v>
      </c>
      <c r="Y566" s="8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8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9" t="b">
        <v>0</v>
      </c>
      <c r="AY566"/>
      <c r="AZ566"/>
      <c r="BA566"/>
    </row>
    <row r="567" spans="1:53">
      <c r="A567" s="2" t="s">
        <v>588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t="s">
        <v>1754</v>
      </c>
      <c r="F567" t="str">
        <f>_xlfn.XLOOKUP(PROPERTIES[[#This Row],[COUNTRY]],COUNTRIES[COUNTRY_DESCRIPTION],COUNTRIES[COUNTRY_LABEL],"")</f>
        <v>DE</v>
      </c>
      <c r="G567" t="str" cm="1">
        <f t="array" ref="G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7" t="s">
        <v>320</v>
      </c>
      <c r="I567">
        <v>157</v>
      </c>
      <c r="J567">
        <v>8</v>
      </c>
      <c r="K567">
        <v>8</v>
      </c>
      <c r="L567" t="str" cm="1">
        <f t="array" ref="L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7">
        <f>_xlfn.XLOOKUP("LOADINGSPEEDDEF_"&amp;PROPERTIES[[#This Row],[LOADINGSPEED]],LOADINGSPEEDDEF[TYPE],LOADINGSPEEDDEF[SPEED])</f>
        <v>120</v>
      </c>
      <c r="N567" cm="1">
        <f t="array" ref="N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7">
        <f>IF(ISNUMBER(SEARCH("passenger",PROPERTIES[[#This Row],[CARGODEF]])),1,0)</f>
        <v>1</v>
      </c>
      <c r="P567" s="29">
        <v>45.2</v>
      </c>
      <c r="Q567">
        <v>375</v>
      </c>
      <c r="R567">
        <v>60</v>
      </c>
      <c r="S567" s="26">
        <v>42</v>
      </c>
      <c r="T567" s="25">
        <f>IFERROR(PROPERTIES[[#This Row],[TE_STARTING_KN]]/(PROPERTIES[[#This Row],[WEIGHT]]*9.81),0)</f>
        <v>9.4720034640469811E-2</v>
      </c>
      <c r="U567" s="25">
        <v>7.0000000000000007E-2</v>
      </c>
      <c r="V567" s="22">
        <f>ROUND(IF(IFERROR(PROPERTIES[[#This Row],[TE_COEFFICIENT_CALC]],0)=0,PROPERTIES[[#This Row],[TE_COEFFICIENT_MANUAL]],PROPERTIES[[#This Row],[TE_COEFFICIENT_CALC]]),3)</f>
        <v>9.5000000000000001E-2</v>
      </c>
      <c r="W567" s="10" cm="1">
        <f t="array" ref="W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7" s="32">
        <v>0</v>
      </c>
      <c r="Y567" s="8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8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9" t="b">
        <v>0</v>
      </c>
      <c r="AY567"/>
      <c r="AZ567"/>
      <c r="BA567"/>
    </row>
    <row r="568" spans="1:53">
      <c r="A568" s="2" t="s">
        <v>589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t="s">
        <v>2200</v>
      </c>
      <c r="F568" t="str">
        <f>_xlfn.XLOOKUP(PROPERTIES[[#This Row],[COUNTRY]],COUNTRIES[COUNTRY_DESCRIPTION],COUNTRIES[COUNTRY_LABEL],"")</f>
        <v>WRLD</v>
      </c>
      <c r="G568" t="str" cm="1">
        <f t="array" ref="G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8" t="s">
        <v>17</v>
      </c>
      <c r="I568">
        <v>45</v>
      </c>
      <c r="J568">
        <v>8</v>
      </c>
      <c r="K568">
        <v>4</v>
      </c>
      <c r="L568" t="str" cm="1">
        <f t="array" ref="L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8">
        <f>_xlfn.XLOOKUP("LOADINGSPEEDDEF_"&amp;PROPERTIES[[#This Row],[LOADINGSPEED]],LOADINGSPEEDDEF[TYPE],LOADINGSPEEDDEF[SPEED])</f>
        <v>16</v>
      </c>
      <c r="N568" t="str" cm="1">
        <f t="array" ref="N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8">
        <f>IF(ISNUMBER(SEARCH("passenger",PROPERTIES[[#This Row],[CARGODEF]])),1,0)</f>
        <v>1</v>
      </c>
      <c r="P568" s="29">
        <v>30</v>
      </c>
      <c r="Q568">
        <v>5070</v>
      </c>
      <c r="R568">
        <v>753</v>
      </c>
      <c r="S568" s="26">
        <v>0</v>
      </c>
      <c r="T568" s="25">
        <f>IFERROR(PROPERTIES[[#This Row],[TE_STARTING_KN]]/(PROPERTIES[[#This Row],[WEIGHT]]*9.81),0)</f>
        <v>0</v>
      </c>
      <c r="U568" s="25">
        <v>0.28999999999999998</v>
      </c>
      <c r="V568" s="22">
        <f>ROUND(IF(IFERROR(PROPERTIES[[#This Row],[TE_COEFFICIENT_CALC]],0)=0,PROPERTIES[[#This Row],[TE_COEFFICIENT_MANUAL]],PROPERTIES[[#This Row],[TE_COEFFICIENT_CALC]]),3)</f>
        <v>0.28999999999999998</v>
      </c>
      <c r="W568" s="10" cm="1">
        <f t="array" ref="W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8" s="32">
        <v>0</v>
      </c>
      <c r="Y568" s="8">
        <v>2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8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9" t="b">
        <v>0</v>
      </c>
      <c r="AY568"/>
      <c r="AZ568"/>
      <c r="BA568"/>
    </row>
    <row r="569" spans="1:53">
      <c r="A569" s="2" t="s">
        <v>590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t="s">
        <v>1754</v>
      </c>
      <c r="F569" t="str">
        <f>_xlfn.XLOOKUP(PROPERTIES[[#This Row],[COUNTRY]],COUNTRIES[COUNTRY_DESCRIPTION],COUNTRIES[COUNTRY_LABEL],"")</f>
        <v>DE</v>
      </c>
      <c r="G569" t="str" cm="1">
        <f t="array" ref="G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9" t="s">
        <v>19</v>
      </c>
      <c r="I569">
        <v>0</v>
      </c>
      <c r="J569">
        <v>8</v>
      </c>
      <c r="K569">
        <v>8</v>
      </c>
      <c r="L569" t="str" cm="1">
        <f t="array" ref="L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69">
        <f>_xlfn.XLOOKUP("LOADINGSPEEDDEF_"&amp;PROPERTIES[[#This Row],[LOADINGSPEED]],LOADINGSPEEDDEF[TYPE],LOADINGSPEEDDEF[SPEED])</f>
        <v>20</v>
      </c>
      <c r="N569" t="str" cm="1">
        <f t="array" ref="N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9">
        <f>IF(ISNUMBER(SEARCH("passenger",PROPERTIES[[#This Row],[CARGODEF]])),1,0)</f>
        <v>0</v>
      </c>
      <c r="P569" s="29">
        <v>90</v>
      </c>
      <c r="Q569">
        <v>18875</v>
      </c>
      <c r="R569">
        <v>250</v>
      </c>
      <c r="S569" s="26">
        <v>600</v>
      </c>
      <c r="T569" s="25">
        <f>IFERROR(PROPERTIES[[#This Row],[TE_STARTING_KN]]/(PROPERTIES[[#This Row],[WEIGHT]]*9.81),0)</f>
        <v>0.6795786612300373</v>
      </c>
      <c r="U569" s="25">
        <v>0.35</v>
      </c>
      <c r="V569" s="22">
        <f>ROUND(IF(IFERROR(PROPERTIES[[#This Row],[TE_COEFFICIENT_CALC]],0)=0,PROPERTIES[[#This Row],[TE_COEFFICIENT_MANUAL]],PROPERTIES[[#This Row],[TE_COEFFICIENT_CALC]]),3)</f>
        <v>0.68</v>
      </c>
      <c r="W569" s="10" cm="1">
        <f t="array" ref="W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9" s="32">
        <v>0</v>
      </c>
      <c r="Y569" s="8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8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9" t="b">
        <v>0</v>
      </c>
      <c r="AY569"/>
      <c r="AZ569"/>
      <c r="BA569"/>
    </row>
    <row r="570" spans="1:53">
      <c r="A570" s="2" t="s">
        <v>3310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t="s">
        <v>1745</v>
      </c>
      <c r="F570" t="str">
        <f>_xlfn.XLOOKUP(PROPERTIES[[#This Row],[COUNTRY]],COUNTRIES[COUNTRY_DESCRIPTION],COUNTRIES[COUNTRY_LABEL],"")</f>
        <v>CN</v>
      </c>
      <c r="G570" t="str" cm="1">
        <f t="array" ref="G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0" t="s">
        <v>17</v>
      </c>
      <c r="I570">
        <v>50</v>
      </c>
      <c r="J570">
        <v>8</v>
      </c>
      <c r="K570">
        <v>8</v>
      </c>
      <c r="L570" t="str" cm="1">
        <f t="array" ref="L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0">
        <f>_xlfn.XLOOKUP("LOADINGSPEEDDEF_"&amp;PROPERTIES[[#This Row],[LOADINGSPEED]],LOADINGSPEEDDEF[TYPE],LOADINGSPEEDDEF[SPEED])</f>
        <v>16</v>
      </c>
      <c r="N570" t="str" cm="1">
        <f t="array" ref="N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0">
        <f>IF(ISNUMBER(SEARCH("passenger",PROPERTIES[[#This Row],[CARGODEF]])),1,0)</f>
        <v>1</v>
      </c>
      <c r="P570" s="29">
        <v>53</v>
      </c>
      <c r="Q570">
        <v>13450</v>
      </c>
      <c r="R570">
        <v>433</v>
      </c>
      <c r="S570" s="26">
        <v>450</v>
      </c>
      <c r="T570" s="25">
        <f>IFERROR(PROPERTIES[[#This Row],[TE_STARTING_KN]]/(PROPERTIES[[#This Row],[WEIGHT]]*9.81),0)</f>
        <v>0.8655011251514626</v>
      </c>
      <c r="U570" s="25">
        <v>0.3</v>
      </c>
      <c r="V570" s="22">
        <f>ROUND(IF(IFERROR(PROPERTIES[[#This Row],[TE_COEFFICIENT_CALC]],0)=0,PROPERTIES[[#This Row],[TE_COEFFICIENT_MANUAL]],PROPERTIES[[#This Row],[TE_COEFFICIENT_CALC]]),3)</f>
        <v>0.86599999999999999</v>
      </c>
      <c r="W570" s="10" cm="1">
        <f t="array" ref="W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0" s="32">
        <v>55</v>
      </c>
      <c r="Y570" s="8">
        <v>8</v>
      </c>
      <c r="Z570" t="s">
        <v>877</v>
      </c>
      <c r="AA570" t="s">
        <v>869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8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9" t="b">
        <v>0</v>
      </c>
      <c r="AY570"/>
      <c r="AZ570"/>
      <c r="BA570"/>
    </row>
    <row r="571" spans="1:53">
      <c r="A571" s="2" t="s">
        <v>3311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t="s">
        <v>1810</v>
      </c>
      <c r="F571" t="str">
        <f>_xlfn.XLOOKUP(PROPERTIES[[#This Row],[COUNTRY]],COUNTRIES[COUNTRY_DESCRIPTION],COUNTRIES[COUNTRY_LABEL],"")</f>
        <v>JP</v>
      </c>
      <c r="G571" t="str" cm="1">
        <f t="array" ref="G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1" t="s">
        <v>17</v>
      </c>
      <c r="I571">
        <f>38/2</f>
        <v>19</v>
      </c>
      <c r="J571">
        <v>8</v>
      </c>
      <c r="K571">
        <v>8</v>
      </c>
      <c r="L571" t="str" cm="1">
        <f t="array" ref="L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1">
        <f>_xlfn.XLOOKUP("LOADINGSPEEDDEF_"&amp;PROPERTIES[[#This Row],[LOADINGSPEED]],LOADINGSPEEDDEF[TYPE],LOADINGSPEEDDEF[SPEED])</f>
        <v>16</v>
      </c>
      <c r="N571" t="str" cm="1">
        <f t="array" ref="N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1">
        <f>IF(ISNUMBER(SEARCH("passenger",PROPERTIES[[#This Row],[CARGODEF]])),1,0)</f>
        <v>1</v>
      </c>
      <c r="P571" s="29">
        <v>72</v>
      </c>
      <c r="Q571">
        <v>20115</v>
      </c>
      <c r="R571">
        <v>500</v>
      </c>
      <c r="S571" s="26">
        <v>500</v>
      </c>
      <c r="T571" s="25">
        <f>IFERROR(PROPERTIES[[#This Row],[TE_STARTING_KN]]/(PROPERTIES[[#This Row],[WEIGHT]]*9.81),0)</f>
        <v>0.70789443878128888</v>
      </c>
      <c r="U571" s="25">
        <v>0.3</v>
      </c>
      <c r="V571" s="22">
        <f>ROUND(IF(IFERROR(PROPERTIES[[#This Row],[TE_COEFFICIENT_CALC]],0)=0,PROPERTIES[[#This Row],[TE_COEFFICIENT_MANUAL]],PROPERTIES[[#This Row],[TE_COEFFICIENT_CALC]]),3)</f>
        <v>0.70799999999999996</v>
      </c>
      <c r="W571" s="10" cm="1">
        <f t="array" ref="W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1" s="32">
        <v>60</v>
      </c>
      <c r="Y571" s="8">
        <v>8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8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9" t="b">
        <v>0</v>
      </c>
      <c r="AY571"/>
      <c r="AZ571"/>
      <c r="BA571"/>
    </row>
    <row r="572" spans="1:53">
      <c r="A572" s="2" t="s">
        <v>866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2" t="str">
        <f>_xlfn.XLOOKUP(PROPERTIES[[#This Row],[COUNTRY]],COUNTRIES[COUNTRY_DESCRIPTION],COUNTRIES[COUNTRY_LABEL],"")</f>
        <v/>
      </c>
      <c r="G572" t="str" cm="1">
        <f t="array" ref="G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2" t="s">
        <v>2911</v>
      </c>
      <c r="I572">
        <v>74</v>
      </c>
      <c r="J572">
        <v>8</v>
      </c>
      <c r="K572">
        <v>8</v>
      </c>
      <c r="L572" t="str" cm="1">
        <f t="array" ref="L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2">
        <f>_xlfn.XLOOKUP("LOADINGSPEEDDEF_"&amp;PROPERTIES[[#This Row],[LOADINGSPEED]],LOADINGSPEEDDEF[TYPE],LOADINGSPEEDDEF[SPEED])</f>
        <v>20</v>
      </c>
      <c r="N572" t="str" cm="1">
        <f t="array" ref="N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2">
        <f>IF(ISNUMBER(SEARCH("passenger",PROPERTIES[[#This Row],[CARGODEF]])),1,0)</f>
        <v>0</v>
      </c>
      <c r="P572" s="29">
        <v>27</v>
      </c>
      <c r="Q572">
        <v>0</v>
      </c>
      <c r="R572">
        <v>160</v>
      </c>
      <c r="S572" s="26">
        <v>0</v>
      </c>
      <c r="T572" s="25">
        <f>IFERROR(PROPERTIES[[#This Row],[TE_STARTING_KN]]/(PROPERTIES[[#This Row],[WEIGHT]]*9.81),0)</f>
        <v>0</v>
      </c>
      <c r="U572" s="25">
        <v>0.3</v>
      </c>
      <c r="V572" s="22">
        <f>ROUND(IF(IFERROR(PROPERTIES[[#This Row],[TE_COEFFICIENT_CALC]],0)=0,PROPERTIES[[#This Row],[TE_COEFFICIENT_MANUAL]],PROPERTIES[[#This Row],[TE_COEFFICIENT_CALC]]),3)</f>
        <v>0.3</v>
      </c>
      <c r="W572" s="10" cm="1">
        <f t="array" ref="W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2" s="32">
        <v>0</v>
      </c>
      <c r="Y572" s="8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8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9" t="b">
        <v>0</v>
      </c>
      <c r="AY572"/>
      <c r="AZ572"/>
      <c r="BA572"/>
    </row>
    <row r="573" spans="1:53">
      <c r="A573" s="2" t="s">
        <v>850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3" t="str">
        <f>_xlfn.XLOOKUP(PROPERTIES[[#This Row],[COUNTRY]],COUNTRIES[COUNTRY_DESCRIPTION],COUNTRIES[COUNTRY_LABEL],"")</f>
        <v/>
      </c>
      <c r="G573" t="str" cm="1">
        <f t="array" ref="G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3" t="s">
        <v>2914</v>
      </c>
      <c r="I573">
        <v>74</v>
      </c>
      <c r="J573">
        <v>8</v>
      </c>
      <c r="K573">
        <v>8</v>
      </c>
      <c r="L573" t="str" cm="1">
        <f t="array" ref="L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3">
        <f>_xlfn.XLOOKUP("LOADINGSPEEDDEF_"&amp;PROPERTIES[[#This Row],[LOADINGSPEED]],LOADINGSPEEDDEF[TYPE],LOADINGSPEEDDEF[SPEED])</f>
        <v>20</v>
      </c>
      <c r="N573" t="str" cm="1">
        <f t="array" ref="N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3">
        <f>IF(ISNUMBER(SEARCH("passenger",PROPERTIES[[#This Row],[CARGODEF]])),1,0)</f>
        <v>0</v>
      </c>
      <c r="P573" s="29">
        <v>27</v>
      </c>
      <c r="Q573">
        <v>0</v>
      </c>
      <c r="R573">
        <v>160</v>
      </c>
      <c r="S573" s="26">
        <v>0</v>
      </c>
      <c r="T573" s="25">
        <f>IFERROR(PROPERTIES[[#This Row],[TE_STARTING_KN]]/(PROPERTIES[[#This Row],[WEIGHT]]*9.81),0)</f>
        <v>0</v>
      </c>
      <c r="U573" s="25">
        <v>0.3</v>
      </c>
      <c r="V573" s="22">
        <f>ROUND(IF(IFERROR(PROPERTIES[[#This Row],[TE_COEFFICIENT_CALC]],0)=0,PROPERTIES[[#This Row],[TE_COEFFICIENT_MANUAL]],PROPERTIES[[#This Row],[TE_COEFFICIENT_CALC]]),3)</f>
        <v>0.3</v>
      </c>
      <c r="W573" s="10" cm="1">
        <f t="array" ref="W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3" s="32">
        <v>0</v>
      </c>
      <c r="Y573" s="8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8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9" t="b">
        <v>0</v>
      </c>
      <c r="AY573"/>
      <c r="AZ573"/>
      <c r="BA573"/>
    </row>
    <row r="574" spans="1:53">
      <c r="A574" s="2" t="s">
        <v>851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4" t="str">
        <f>_xlfn.XLOOKUP(PROPERTIES[[#This Row],[COUNTRY]],COUNTRIES[COUNTRY_DESCRIPTION],COUNTRIES[COUNTRY_LABEL],"")</f>
        <v/>
      </c>
      <c r="G574" t="str" cm="1">
        <f t="array" ref="G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4" t="s">
        <v>592</v>
      </c>
      <c r="I574">
        <v>20</v>
      </c>
      <c r="J574">
        <v>8</v>
      </c>
      <c r="K574">
        <v>8</v>
      </c>
      <c r="L574" t="str" cm="1">
        <f t="array" ref="L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4">
        <f>_xlfn.XLOOKUP("LOADINGSPEEDDEF_"&amp;PROPERTIES[[#This Row],[LOADINGSPEED]],LOADINGSPEEDDEF[TYPE],LOADINGSPEEDDEF[SPEED])</f>
        <v>20</v>
      </c>
      <c r="N574" t="str" cm="1">
        <f t="array" ref="N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4">
        <f>IF(ISNUMBER(SEARCH("passenger",PROPERTIES[[#This Row],[CARGODEF]])),1,0)</f>
        <v>0</v>
      </c>
      <c r="P574" s="29">
        <v>28</v>
      </c>
      <c r="Q574">
        <v>0</v>
      </c>
      <c r="R574">
        <v>160</v>
      </c>
      <c r="S574" s="26">
        <v>0</v>
      </c>
      <c r="T574" s="25">
        <f>IFERROR(PROPERTIES[[#This Row],[TE_STARTING_KN]]/(PROPERTIES[[#This Row],[WEIGHT]]*9.81),0)</f>
        <v>0</v>
      </c>
      <c r="U574" s="25">
        <v>0.3</v>
      </c>
      <c r="V574" s="22">
        <f>ROUND(IF(IFERROR(PROPERTIES[[#This Row],[TE_COEFFICIENT_CALC]],0)=0,PROPERTIES[[#This Row],[TE_COEFFICIENT_MANUAL]],PROPERTIES[[#This Row],[TE_COEFFICIENT_CALC]]),3)</f>
        <v>0.3</v>
      </c>
      <c r="W574" s="10" cm="1">
        <f t="array" ref="W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4" s="32">
        <v>0</v>
      </c>
      <c r="Y574" s="8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8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9" t="b">
        <v>0</v>
      </c>
      <c r="AY574"/>
      <c r="AZ574"/>
      <c r="BA574"/>
    </row>
    <row r="575" spans="1:53">
      <c r="A575" s="2" t="s">
        <v>852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5" t="str">
        <f>_xlfn.XLOOKUP(PROPERTIES[[#This Row],[COUNTRY]],COUNTRIES[COUNTRY_DESCRIPTION],COUNTRIES[COUNTRY_LABEL],"")</f>
        <v/>
      </c>
      <c r="G575" t="str" cm="1">
        <f t="array" ref="G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5" t="s">
        <v>593</v>
      </c>
      <c r="I575">
        <v>65</v>
      </c>
      <c r="J575">
        <v>8</v>
      </c>
      <c r="K575">
        <v>8</v>
      </c>
      <c r="L575" t="str" cm="1">
        <f t="array" ref="L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5">
        <f>_xlfn.XLOOKUP("LOADINGSPEEDDEF_"&amp;PROPERTIES[[#This Row],[LOADINGSPEED]],LOADINGSPEEDDEF[TYPE],LOADINGSPEEDDEF[SPEED])</f>
        <v>20</v>
      </c>
      <c r="N575" t="str" cm="1">
        <f t="array" ref="N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5">
        <f>IF(ISNUMBER(SEARCH("passenger",PROPERTIES[[#This Row],[CARGODEF]])),1,0)</f>
        <v>0</v>
      </c>
      <c r="P575" s="29">
        <v>40</v>
      </c>
      <c r="Q575">
        <v>0</v>
      </c>
      <c r="R575">
        <v>160</v>
      </c>
      <c r="S575" s="26">
        <v>0</v>
      </c>
      <c r="T575" s="25">
        <f>IFERROR(PROPERTIES[[#This Row],[TE_STARTING_KN]]/(PROPERTIES[[#This Row],[WEIGHT]]*9.81),0)</f>
        <v>0</v>
      </c>
      <c r="U575" s="25">
        <v>0.3</v>
      </c>
      <c r="V575" s="22">
        <f>ROUND(IF(IFERROR(PROPERTIES[[#This Row],[TE_COEFFICIENT_CALC]],0)=0,PROPERTIES[[#This Row],[TE_COEFFICIENT_MANUAL]],PROPERTIES[[#This Row],[TE_COEFFICIENT_CALC]]),3)</f>
        <v>0.3</v>
      </c>
      <c r="W575" s="10" cm="1">
        <f t="array" ref="W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5" s="32">
        <v>0</v>
      </c>
      <c r="Y575" s="8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8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9" t="b">
        <v>0</v>
      </c>
      <c r="AY575"/>
      <c r="AZ575"/>
      <c r="BA575"/>
    </row>
    <row r="576" spans="1:53">
      <c r="A576" s="2" t="s">
        <v>853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6" t="str">
        <f>_xlfn.XLOOKUP(PROPERTIES[[#This Row],[COUNTRY]],COUNTRIES[COUNTRY_DESCRIPTION],COUNTRIES[COUNTRY_LABEL],"")</f>
        <v/>
      </c>
      <c r="G576" t="str" cm="1">
        <f t="array" ref="G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6" t="s">
        <v>526</v>
      </c>
      <c r="I576">
        <v>60</v>
      </c>
      <c r="J576">
        <v>8</v>
      </c>
      <c r="K576">
        <v>8</v>
      </c>
      <c r="L576" t="str" cm="1">
        <f t="array" ref="L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6">
        <f>_xlfn.XLOOKUP("LOADINGSPEEDDEF_"&amp;PROPERTIES[[#This Row],[LOADINGSPEED]],LOADINGSPEEDDEF[TYPE],LOADINGSPEEDDEF[SPEED])</f>
        <v>20</v>
      </c>
      <c r="N576" t="str" cm="1">
        <f t="array" ref="N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6">
        <f>IF(ISNUMBER(SEARCH("passenger",PROPERTIES[[#This Row],[CARGODEF]])),1,0)</f>
        <v>0</v>
      </c>
      <c r="P576" s="29">
        <v>22</v>
      </c>
      <c r="Q576">
        <v>0</v>
      </c>
      <c r="R576">
        <v>160</v>
      </c>
      <c r="S576" s="26">
        <v>0</v>
      </c>
      <c r="T576" s="25">
        <f>IFERROR(PROPERTIES[[#This Row],[TE_STARTING_KN]]/(PROPERTIES[[#This Row],[WEIGHT]]*9.81),0)</f>
        <v>0</v>
      </c>
      <c r="U576" s="25">
        <v>0.3</v>
      </c>
      <c r="V576" s="22">
        <f>ROUND(IF(IFERROR(PROPERTIES[[#This Row],[TE_COEFFICIENT_CALC]],0)=0,PROPERTIES[[#This Row],[TE_COEFFICIENT_MANUAL]],PROPERTIES[[#This Row],[TE_COEFFICIENT_CALC]]),3)</f>
        <v>0.3</v>
      </c>
      <c r="W576" s="10" cm="1">
        <f t="array" ref="W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6" s="32">
        <v>0</v>
      </c>
      <c r="Y576" s="8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8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9" t="b">
        <v>0</v>
      </c>
      <c r="AY576"/>
      <c r="AZ576"/>
      <c r="BA576"/>
    </row>
    <row r="577" spans="1:53">
      <c r="A577" s="2" t="s">
        <v>854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7" t="str">
        <f>_xlfn.XLOOKUP(PROPERTIES[[#This Row],[COUNTRY]],COUNTRIES[COUNTRY_DESCRIPTION],COUNTRIES[COUNTRY_LABEL],"")</f>
        <v/>
      </c>
      <c r="G577" t="str" cm="1">
        <f t="array" ref="G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7" t="s">
        <v>594</v>
      </c>
      <c r="I577">
        <v>75</v>
      </c>
      <c r="J577">
        <v>8</v>
      </c>
      <c r="K577">
        <v>8</v>
      </c>
      <c r="L577" t="str" cm="1">
        <f t="array" ref="L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7">
        <f>_xlfn.XLOOKUP("LOADINGSPEEDDEF_"&amp;PROPERTIES[[#This Row],[LOADINGSPEED]],LOADINGSPEEDDEF[TYPE],LOADINGSPEEDDEF[SPEED])</f>
        <v>20</v>
      </c>
      <c r="N577" t="str" cm="1">
        <f t="array" ref="N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7">
        <f>IF(ISNUMBER(SEARCH("passenger",PROPERTIES[[#This Row],[CARGODEF]])),1,0)</f>
        <v>0</v>
      </c>
      <c r="P577" s="29">
        <v>25</v>
      </c>
      <c r="Q577">
        <v>0</v>
      </c>
      <c r="R577">
        <v>160</v>
      </c>
      <c r="S577" s="26">
        <v>0</v>
      </c>
      <c r="T577" s="25">
        <f>IFERROR(PROPERTIES[[#This Row],[TE_STARTING_KN]]/(PROPERTIES[[#This Row],[WEIGHT]]*9.81),0)</f>
        <v>0</v>
      </c>
      <c r="U577" s="25">
        <v>0.3</v>
      </c>
      <c r="V577" s="22">
        <f>ROUND(IF(IFERROR(PROPERTIES[[#This Row],[TE_COEFFICIENT_CALC]],0)=0,PROPERTIES[[#This Row],[TE_COEFFICIENT_MANUAL]],PROPERTIES[[#This Row],[TE_COEFFICIENT_CALC]]),3)</f>
        <v>0.3</v>
      </c>
      <c r="W577" s="10" cm="1">
        <f t="array" ref="W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7" s="32">
        <v>0</v>
      </c>
      <c r="Y577" s="8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8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9" t="b">
        <v>0</v>
      </c>
      <c r="AY577"/>
      <c r="AZ577"/>
      <c r="BA577"/>
    </row>
    <row r="578" spans="1:53">
      <c r="A578" s="2" t="s">
        <v>855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8" t="str">
        <f>_xlfn.XLOOKUP(PROPERTIES[[#This Row],[COUNTRY]],COUNTRIES[COUNTRY_DESCRIPTION],COUNTRIES[COUNTRY_LABEL],"")</f>
        <v/>
      </c>
      <c r="G578" t="str" cm="1">
        <f t="array" ref="G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8" t="s">
        <v>595</v>
      </c>
      <c r="I578">
        <v>72</v>
      </c>
      <c r="J578">
        <v>8</v>
      </c>
      <c r="K578">
        <v>8</v>
      </c>
      <c r="L578" t="str" cm="1">
        <f t="array" ref="L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8">
        <f>_xlfn.XLOOKUP("LOADINGSPEEDDEF_"&amp;PROPERTIES[[#This Row],[LOADINGSPEED]],LOADINGSPEEDDEF[TYPE],LOADINGSPEEDDEF[SPEED])</f>
        <v>20</v>
      </c>
      <c r="N578" t="str" cm="1">
        <f t="array" ref="N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8">
        <f>IF(ISNUMBER(SEARCH("passenger",PROPERTIES[[#This Row],[CARGODEF]])),1,0)</f>
        <v>0</v>
      </c>
      <c r="P578" s="29">
        <v>23</v>
      </c>
      <c r="Q578">
        <v>0</v>
      </c>
      <c r="R578">
        <v>160</v>
      </c>
      <c r="S578" s="26">
        <v>0</v>
      </c>
      <c r="T578" s="25">
        <f>IFERROR(PROPERTIES[[#This Row],[TE_STARTING_KN]]/(PROPERTIES[[#This Row],[WEIGHT]]*9.81),0)</f>
        <v>0</v>
      </c>
      <c r="U578" s="25">
        <v>0.3</v>
      </c>
      <c r="V578" s="22">
        <f>ROUND(IF(IFERROR(PROPERTIES[[#This Row],[TE_COEFFICIENT_CALC]],0)=0,PROPERTIES[[#This Row],[TE_COEFFICIENT_MANUAL]],PROPERTIES[[#This Row],[TE_COEFFICIENT_CALC]]),3)</f>
        <v>0.3</v>
      </c>
      <c r="W578" s="10" cm="1">
        <f t="array" ref="W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8" s="32">
        <v>0</v>
      </c>
      <c r="Y578" s="8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8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9" t="b">
        <v>0</v>
      </c>
      <c r="AY578"/>
      <c r="AZ578"/>
      <c r="BA578"/>
    </row>
    <row r="579" spans="1:53">
      <c r="A579" s="2" t="s">
        <v>856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9" t="str">
        <f>_xlfn.XLOOKUP(PROPERTIES[[#This Row],[COUNTRY]],COUNTRIES[COUNTRY_DESCRIPTION],COUNTRIES[COUNTRY_LABEL],"")</f>
        <v/>
      </c>
      <c r="G579" t="str" cm="1">
        <f t="array" ref="G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9" t="s">
        <v>596</v>
      </c>
      <c r="I579">
        <v>75</v>
      </c>
      <c r="J579">
        <v>8</v>
      </c>
      <c r="K579">
        <v>8</v>
      </c>
      <c r="L579" t="str" cm="1">
        <f t="array" ref="L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9">
        <f>_xlfn.XLOOKUP("LOADINGSPEEDDEF_"&amp;PROPERTIES[[#This Row],[LOADINGSPEED]],LOADINGSPEEDDEF[TYPE],LOADINGSPEEDDEF[SPEED])</f>
        <v>20</v>
      </c>
      <c r="N579" t="str" cm="1">
        <f t="array" ref="N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9">
        <f>IF(ISNUMBER(SEARCH("passenger",PROPERTIES[[#This Row],[CARGODEF]])),1,0)</f>
        <v>0</v>
      </c>
      <c r="P579" s="29">
        <v>22</v>
      </c>
      <c r="Q579">
        <v>0</v>
      </c>
      <c r="R579">
        <v>160</v>
      </c>
      <c r="S579" s="26">
        <v>0</v>
      </c>
      <c r="T579" s="25">
        <f>IFERROR(PROPERTIES[[#This Row],[TE_STARTING_KN]]/(PROPERTIES[[#This Row],[WEIGHT]]*9.81),0)</f>
        <v>0</v>
      </c>
      <c r="U579" s="25">
        <v>0.3</v>
      </c>
      <c r="V579" s="22">
        <f>ROUND(IF(IFERROR(PROPERTIES[[#This Row],[TE_COEFFICIENT_CALC]],0)=0,PROPERTIES[[#This Row],[TE_COEFFICIENT_MANUAL]],PROPERTIES[[#This Row],[TE_COEFFICIENT_CALC]]),3)</f>
        <v>0.3</v>
      </c>
      <c r="W579" s="10" cm="1">
        <f t="array" ref="W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9" s="32">
        <v>0</v>
      </c>
      <c r="Y579" s="8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8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9" t="b">
        <v>0</v>
      </c>
      <c r="AY579"/>
      <c r="AZ579"/>
      <c r="BA579"/>
    </row>
    <row r="580" spans="1:53">
      <c r="A580" s="2" t="s">
        <v>857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0" t="str">
        <f>_xlfn.XLOOKUP(PROPERTIES[[#This Row],[COUNTRY]],COUNTRIES[COUNTRY_DESCRIPTION],COUNTRIES[COUNTRY_LABEL],"")</f>
        <v/>
      </c>
      <c r="G580" t="str" cm="1">
        <f t="array" ref="G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0" t="s">
        <v>597</v>
      </c>
      <c r="I580">
        <v>96</v>
      </c>
      <c r="J580">
        <v>8</v>
      </c>
      <c r="K580">
        <v>8</v>
      </c>
      <c r="L580" t="str" cm="1">
        <f t="array" ref="L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0">
        <f>_xlfn.XLOOKUP("LOADINGSPEEDDEF_"&amp;PROPERTIES[[#This Row],[LOADINGSPEED]],LOADINGSPEEDDEF[TYPE],LOADINGSPEEDDEF[SPEED])</f>
        <v>20</v>
      </c>
      <c r="N580" t="str" cm="1">
        <f t="array" ref="N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0">
        <f>IF(ISNUMBER(SEARCH("passenger",PROPERTIES[[#This Row],[CARGODEF]])),1,0)</f>
        <v>0</v>
      </c>
      <c r="P580" s="29">
        <v>42</v>
      </c>
      <c r="Q580">
        <v>0</v>
      </c>
      <c r="R580">
        <v>140</v>
      </c>
      <c r="S580" s="26">
        <v>0</v>
      </c>
      <c r="T580" s="25">
        <f>IFERROR(PROPERTIES[[#This Row],[TE_STARTING_KN]]/(PROPERTIES[[#This Row],[WEIGHT]]*9.81),0)</f>
        <v>0</v>
      </c>
      <c r="U580" s="25">
        <v>0.3</v>
      </c>
      <c r="V580" s="22">
        <f>ROUND(IF(IFERROR(PROPERTIES[[#This Row],[TE_COEFFICIENT_CALC]],0)=0,PROPERTIES[[#This Row],[TE_COEFFICIENT_MANUAL]],PROPERTIES[[#This Row],[TE_COEFFICIENT_CALC]]),3)</f>
        <v>0.3</v>
      </c>
      <c r="W580" s="10" cm="1">
        <f t="array" ref="W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0" s="32">
        <v>0</v>
      </c>
      <c r="Y580" s="8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8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9" t="b">
        <v>0</v>
      </c>
      <c r="AY580"/>
      <c r="AZ580"/>
      <c r="BA580"/>
    </row>
    <row r="581" spans="1:53">
      <c r="A581" s="2" t="s">
        <v>858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1" t="str">
        <f>_xlfn.XLOOKUP(PROPERTIES[[#This Row],[COUNTRY]],COUNTRIES[COUNTRY_DESCRIPTION],COUNTRIES[COUNTRY_LABEL],"")</f>
        <v/>
      </c>
      <c r="G581" t="str" cm="1">
        <f t="array" ref="G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1" t="s">
        <v>2912</v>
      </c>
      <c r="I581">
        <v>75</v>
      </c>
      <c r="J581">
        <v>8</v>
      </c>
      <c r="K581">
        <v>8</v>
      </c>
      <c r="L581" t="str" cm="1">
        <f t="array" ref="L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1">
        <f>_xlfn.XLOOKUP("LOADINGSPEEDDEF_"&amp;PROPERTIES[[#This Row],[LOADINGSPEED]],LOADINGSPEEDDEF[TYPE],LOADINGSPEEDDEF[SPEED])</f>
        <v>20</v>
      </c>
      <c r="N581" t="str" cm="1">
        <f t="array" ref="N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1">
        <f>IF(ISNUMBER(SEARCH("passenger",PROPERTIES[[#This Row],[CARGODEF]])),1,0)</f>
        <v>0</v>
      </c>
      <c r="P581" s="29">
        <v>26</v>
      </c>
      <c r="Q581">
        <v>0</v>
      </c>
      <c r="R581">
        <v>160</v>
      </c>
      <c r="S581" s="26">
        <v>0</v>
      </c>
      <c r="T581" s="25">
        <f>IFERROR(PROPERTIES[[#This Row],[TE_STARTING_KN]]/(PROPERTIES[[#This Row],[WEIGHT]]*9.81),0)</f>
        <v>0</v>
      </c>
      <c r="U581" s="25">
        <v>0.3</v>
      </c>
      <c r="V581" s="22">
        <f>ROUND(IF(IFERROR(PROPERTIES[[#This Row],[TE_COEFFICIENT_CALC]],0)=0,PROPERTIES[[#This Row],[TE_COEFFICIENT_MANUAL]],PROPERTIES[[#This Row],[TE_COEFFICIENT_CALC]]),3)</f>
        <v>0.3</v>
      </c>
      <c r="W581" s="10" cm="1">
        <f t="array" ref="W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1" s="32">
        <v>0</v>
      </c>
      <c r="Y581" s="8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8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9" t="b">
        <v>0</v>
      </c>
      <c r="AY581"/>
      <c r="AZ581"/>
      <c r="BA581"/>
    </row>
    <row r="582" spans="1:53">
      <c r="A582" s="2" t="s">
        <v>859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2" t="str">
        <f>_xlfn.XLOOKUP(PROPERTIES[[#This Row],[COUNTRY]],COUNTRIES[COUNTRY_DESCRIPTION],COUNTRIES[COUNTRY_LABEL],"")</f>
        <v/>
      </c>
      <c r="G582" t="str" cm="1">
        <f t="array" ref="G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2" t="s">
        <v>2915</v>
      </c>
      <c r="I582">
        <v>75</v>
      </c>
      <c r="J582">
        <v>8</v>
      </c>
      <c r="K582">
        <v>8</v>
      </c>
      <c r="L582" t="str" cm="1">
        <f t="array" ref="L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2">
        <f>_xlfn.XLOOKUP("LOADINGSPEEDDEF_"&amp;PROPERTIES[[#This Row],[LOADINGSPEED]],LOADINGSPEEDDEF[TYPE],LOADINGSPEEDDEF[SPEED])</f>
        <v>20</v>
      </c>
      <c r="N582" t="str" cm="1">
        <f t="array" ref="N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2">
        <f>IF(ISNUMBER(SEARCH("passenger",PROPERTIES[[#This Row],[CARGODEF]])),1,0)</f>
        <v>0</v>
      </c>
      <c r="P582" s="29">
        <v>26</v>
      </c>
      <c r="Q582">
        <v>0</v>
      </c>
      <c r="R582">
        <v>160</v>
      </c>
      <c r="S582" s="26">
        <v>0</v>
      </c>
      <c r="T582" s="25">
        <f>IFERROR(PROPERTIES[[#This Row],[TE_STARTING_KN]]/(PROPERTIES[[#This Row],[WEIGHT]]*9.81),0)</f>
        <v>0</v>
      </c>
      <c r="U582" s="25">
        <v>0.3</v>
      </c>
      <c r="V582" s="22">
        <f>ROUND(IF(IFERROR(PROPERTIES[[#This Row],[TE_COEFFICIENT_CALC]],0)=0,PROPERTIES[[#This Row],[TE_COEFFICIENT_MANUAL]],PROPERTIES[[#This Row],[TE_COEFFICIENT_CALC]]),3)</f>
        <v>0.3</v>
      </c>
      <c r="W582" s="10" cm="1">
        <f t="array" ref="W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2" s="32">
        <v>0</v>
      </c>
      <c r="Y582" s="8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8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9" t="b">
        <v>0</v>
      </c>
      <c r="AY582"/>
      <c r="AZ582"/>
      <c r="BA582"/>
    </row>
    <row r="583" spans="1:53">
      <c r="A583" s="2" t="s">
        <v>860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3" t="str">
        <f>_xlfn.XLOOKUP(PROPERTIES[[#This Row],[COUNTRY]],COUNTRIES[COUNTRY_DESCRIPTION],COUNTRIES[COUNTRY_LABEL],"")</f>
        <v/>
      </c>
      <c r="G583" t="str" cm="1">
        <f t="array" ref="G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3" t="s">
        <v>2913</v>
      </c>
      <c r="I583">
        <v>75</v>
      </c>
      <c r="J583">
        <v>8</v>
      </c>
      <c r="K583">
        <v>8</v>
      </c>
      <c r="L583" t="str" cm="1">
        <f t="array" ref="L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3">
        <f>_xlfn.XLOOKUP("LOADINGSPEEDDEF_"&amp;PROPERTIES[[#This Row],[LOADINGSPEED]],LOADINGSPEEDDEF[TYPE],LOADINGSPEEDDEF[SPEED])</f>
        <v>20</v>
      </c>
      <c r="N583" t="str" cm="1">
        <f t="array" ref="N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3">
        <f>IF(ISNUMBER(SEARCH("passenger",PROPERTIES[[#This Row],[CARGODEF]])),1,0)</f>
        <v>0</v>
      </c>
      <c r="P583" s="29">
        <v>27</v>
      </c>
      <c r="Q583">
        <v>0</v>
      </c>
      <c r="R583">
        <v>160</v>
      </c>
      <c r="S583" s="26">
        <v>0</v>
      </c>
      <c r="T583" s="25">
        <f>IFERROR(PROPERTIES[[#This Row],[TE_STARTING_KN]]/(PROPERTIES[[#This Row],[WEIGHT]]*9.81),0)</f>
        <v>0</v>
      </c>
      <c r="U583" s="25">
        <v>0.3</v>
      </c>
      <c r="V583" s="22">
        <f>ROUND(IF(IFERROR(PROPERTIES[[#This Row],[TE_COEFFICIENT_CALC]],0)=0,PROPERTIES[[#This Row],[TE_COEFFICIENT_MANUAL]],PROPERTIES[[#This Row],[TE_COEFFICIENT_CALC]]),3)</f>
        <v>0.3</v>
      </c>
      <c r="W583" s="10" cm="1">
        <f t="array" ref="W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3" s="32">
        <v>0</v>
      </c>
      <c r="Y583" s="8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8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9" t="b">
        <v>0</v>
      </c>
      <c r="AY583"/>
      <c r="AZ583"/>
      <c r="BA583"/>
    </row>
    <row r="584" spans="1:53">
      <c r="A584" s="2" t="s">
        <v>861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4" t="str">
        <f>_xlfn.XLOOKUP(PROPERTIES[[#This Row],[COUNTRY]],COUNTRIES[COUNTRY_DESCRIPTION],COUNTRIES[COUNTRY_LABEL],"")</f>
        <v/>
      </c>
      <c r="G584" t="str" cm="1">
        <f t="array" ref="G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4" t="s">
        <v>2916</v>
      </c>
      <c r="I584">
        <v>75</v>
      </c>
      <c r="J584">
        <v>8</v>
      </c>
      <c r="K584">
        <v>8</v>
      </c>
      <c r="L584" t="str" cm="1">
        <f t="array" ref="L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4">
        <f>_xlfn.XLOOKUP("LOADINGSPEEDDEF_"&amp;PROPERTIES[[#This Row],[LOADINGSPEED]],LOADINGSPEEDDEF[TYPE],LOADINGSPEEDDEF[SPEED])</f>
        <v>20</v>
      </c>
      <c r="N584" t="str" cm="1">
        <f t="array" ref="N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4">
        <f>IF(ISNUMBER(SEARCH("passenger",PROPERTIES[[#This Row],[CARGODEF]])),1,0)</f>
        <v>0</v>
      </c>
      <c r="P584" s="29">
        <v>27</v>
      </c>
      <c r="Q584">
        <v>0</v>
      </c>
      <c r="R584">
        <v>160</v>
      </c>
      <c r="S584" s="26">
        <v>0</v>
      </c>
      <c r="T584" s="25">
        <f>IFERROR(PROPERTIES[[#This Row],[TE_STARTING_KN]]/(PROPERTIES[[#This Row],[WEIGHT]]*9.81),0)</f>
        <v>0</v>
      </c>
      <c r="U584" s="25">
        <v>0.3</v>
      </c>
      <c r="V584" s="22">
        <f>ROUND(IF(IFERROR(PROPERTIES[[#This Row],[TE_COEFFICIENT_CALC]],0)=0,PROPERTIES[[#This Row],[TE_COEFFICIENT_MANUAL]],PROPERTIES[[#This Row],[TE_COEFFICIENT_CALC]]),3)</f>
        <v>0.3</v>
      </c>
      <c r="W584" s="10" cm="1">
        <f t="array" ref="W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4" s="32">
        <v>0</v>
      </c>
      <c r="Y584" s="8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8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9" t="b">
        <v>0</v>
      </c>
      <c r="AY584"/>
      <c r="AZ584"/>
      <c r="BA584"/>
    </row>
    <row r="585" spans="1:53">
      <c r="A585" s="2" t="s">
        <v>862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5" t="str">
        <f>_xlfn.XLOOKUP(PROPERTIES[[#This Row],[COUNTRY]],COUNTRIES[COUNTRY_DESCRIPTION],COUNTRIES[COUNTRY_LABEL],"")</f>
        <v/>
      </c>
      <c r="G585" t="str" cm="1">
        <f t="array" ref="G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5" t="s">
        <v>600</v>
      </c>
      <c r="I585">
        <v>65</v>
      </c>
      <c r="J585">
        <v>4</v>
      </c>
      <c r="K585">
        <v>12</v>
      </c>
      <c r="L585" t="str" cm="1">
        <f t="array" ref="L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5">
        <f>_xlfn.XLOOKUP("LOADINGSPEEDDEF_"&amp;PROPERTIES[[#This Row],[LOADINGSPEED]],LOADINGSPEEDDEF[TYPE],LOADINGSPEEDDEF[SPEED])</f>
        <v>20</v>
      </c>
      <c r="N585" t="str" cm="1">
        <f t="array" ref="N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5">
        <f>IF(ISNUMBER(SEARCH("passenger",PROPERTIES[[#This Row],[CARGODEF]])),1,0)</f>
        <v>0</v>
      </c>
      <c r="P585" s="29">
        <v>50</v>
      </c>
      <c r="Q585">
        <v>0</v>
      </c>
      <c r="R585">
        <v>140</v>
      </c>
      <c r="S585" s="26">
        <v>0</v>
      </c>
      <c r="T585" s="25">
        <f>IFERROR(PROPERTIES[[#This Row],[TE_STARTING_KN]]/(PROPERTIES[[#This Row],[WEIGHT]]*9.81),0)</f>
        <v>0</v>
      </c>
      <c r="U585" s="25">
        <v>0.3</v>
      </c>
      <c r="V585" s="22">
        <f>ROUND(IF(IFERROR(PROPERTIES[[#This Row],[TE_COEFFICIENT_CALC]],0)=0,PROPERTIES[[#This Row],[TE_COEFFICIENT_MANUAL]],PROPERTIES[[#This Row],[TE_COEFFICIENT_CALC]]),3)</f>
        <v>0.3</v>
      </c>
      <c r="W585" s="10" cm="1">
        <f t="array" ref="W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5" s="32">
        <v>0</v>
      </c>
      <c r="Y585" s="8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8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9" t="b">
        <v>0</v>
      </c>
      <c r="AY585"/>
      <c r="AZ585"/>
      <c r="BA585"/>
    </row>
    <row r="586" spans="1:53">
      <c r="A586" s="2" t="s">
        <v>863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6" t="str">
        <f>_xlfn.XLOOKUP(PROPERTIES[[#This Row],[COUNTRY]],COUNTRIES[COUNTRY_DESCRIPTION],COUNTRIES[COUNTRY_LABEL],"")</f>
        <v/>
      </c>
      <c r="G586" t="str" cm="1">
        <f t="array" ref="G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6" t="s">
        <v>601</v>
      </c>
      <c r="I586">
        <v>105</v>
      </c>
      <c r="J586">
        <v>8</v>
      </c>
      <c r="K586">
        <v>8</v>
      </c>
      <c r="L586" t="str" cm="1">
        <f t="array" ref="L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6">
        <f>_xlfn.XLOOKUP("LOADINGSPEEDDEF_"&amp;PROPERTIES[[#This Row],[LOADINGSPEED]],LOADINGSPEEDDEF[TYPE],LOADINGSPEEDDEF[SPEED])</f>
        <v>20</v>
      </c>
      <c r="N586" t="str" cm="1">
        <f t="array" ref="N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6">
        <f>IF(ISNUMBER(SEARCH("passenger",PROPERTIES[[#This Row],[CARGODEF]])),1,0)</f>
        <v>0</v>
      </c>
      <c r="P586" s="29">
        <v>24</v>
      </c>
      <c r="Q586">
        <v>0</v>
      </c>
      <c r="R586">
        <v>160</v>
      </c>
      <c r="S586" s="26">
        <v>0</v>
      </c>
      <c r="T586" s="25">
        <f>IFERROR(PROPERTIES[[#This Row],[TE_STARTING_KN]]/(PROPERTIES[[#This Row],[WEIGHT]]*9.81),0)</f>
        <v>0</v>
      </c>
      <c r="U586" s="25">
        <v>0.3</v>
      </c>
      <c r="V586" s="22">
        <f>ROUND(IF(IFERROR(PROPERTIES[[#This Row],[TE_COEFFICIENT_CALC]],0)=0,PROPERTIES[[#This Row],[TE_COEFFICIENT_MANUAL]],PROPERTIES[[#This Row],[TE_COEFFICIENT_CALC]]),3)</f>
        <v>0.3</v>
      </c>
      <c r="W586" s="10" cm="1">
        <f t="array" ref="W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6" s="32">
        <v>0</v>
      </c>
      <c r="Y586" s="8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8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9" t="b">
        <v>0</v>
      </c>
      <c r="AY586"/>
      <c r="AZ586"/>
      <c r="BA586"/>
    </row>
    <row r="587" spans="1:53">
      <c r="A587" s="2" t="s">
        <v>602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t="s">
        <v>1810</v>
      </c>
      <c r="F587" t="str">
        <f>_xlfn.XLOOKUP(PROPERTIES[[#This Row],[COUNTRY]],COUNTRIES[COUNTRY_DESCRIPTION],COUNTRIES[COUNTRY_LABEL],"")</f>
        <v>JP</v>
      </c>
      <c r="G587" t="str" cm="1">
        <f t="array" ref="G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7" t="s">
        <v>17</v>
      </c>
      <c r="I587">
        <v>151</v>
      </c>
      <c r="J587">
        <v>7</v>
      </c>
      <c r="K587">
        <v>7</v>
      </c>
      <c r="L587" t="str" cm="1">
        <f t="array" ref="L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7">
        <f>_xlfn.XLOOKUP("LOADINGSPEEDDEF_"&amp;PROPERTIES[[#This Row],[LOADINGSPEED]],LOADINGSPEEDDEF[TYPE],LOADINGSPEEDDEF[SPEED])</f>
        <v>40</v>
      </c>
      <c r="N587" t="str" cm="1">
        <f t="array" ref="N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7">
        <f>IF(ISNUMBER(SEARCH("passenger",PROPERTIES[[#This Row],[CARGODEF]])),1,0)</f>
        <v>1</v>
      </c>
      <c r="P587" s="29">
        <v>32</v>
      </c>
      <c r="Q587">
        <v>400</v>
      </c>
      <c r="R587">
        <v>110</v>
      </c>
      <c r="S587" s="26">
        <v>65</v>
      </c>
      <c r="T587" s="25">
        <f>IFERROR(PROPERTIES[[#This Row],[TE_STARTING_KN]]/(PROPERTIES[[#This Row],[WEIGHT]]*9.81),0)</f>
        <v>0.207059123343527</v>
      </c>
      <c r="U587" s="25">
        <v>0.34</v>
      </c>
      <c r="V587" s="22">
        <f>ROUND(IF(IFERROR(PROPERTIES[[#This Row],[TE_COEFFICIENT_CALC]],0)=0,PROPERTIES[[#This Row],[TE_COEFFICIENT_MANUAL]],PROPERTIES[[#This Row],[TE_COEFFICIENT_CALC]]),3)</f>
        <v>0.20699999999999999</v>
      </c>
      <c r="W587" s="10" cm="1">
        <f t="array" ref="W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7" s="32">
        <v>0</v>
      </c>
      <c r="Y587" s="8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8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9" t="b">
        <v>0</v>
      </c>
      <c r="AY587"/>
      <c r="AZ587"/>
      <c r="BA587"/>
    </row>
    <row r="588" spans="1:53">
      <c r="A588" s="2" t="s">
        <v>603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t="s">
        <v>1810</v>
      </c>
      <c r="F588" t="str">
        <f>_xlfn.XLOOKUP(PROPERTIES[[#This Row],[COUNTRY]],COUNTRIES[COUNTRY_DESCRIPTION],COUNTRIES[COUNTRY_LABEL],"")</f>
        <v>JP</v>
      </c>
      <c r="G588" t="str" cm="1">
        <f t="array" ref="G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8" t="s">
        <v>17</v>
      </c>
      <c r="I588">
        <v>114</v>
      </c>
      <c r="J588">
        <v>8</v>
      </c>
      <c r="K588">
        <v>8</v>
      </c>
      <c r="L588" t="str" cm="1">
        <f t="array" ref="L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8">
        <f>_xlfn.XLOOKUP("LOADINGSPEEDDEF_"&amp;PROPERTIES[[#This Row],[LOADINGSPEED]],LOADINGSPEEDDEF[TYPE],LOADINGSPEEDDEF[SPEED])</f>
        <v>40</v>
      </c>
      <c r="N588" t="str" cm="1">
        <f t="array" ref="N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8">
        <f>IF(ISNUMBER(SEARCH("passenger",PROPERTIES[[#This Row],[CARGODEF]])),1,0)</f>
        <v>1</v>
      </c>
      <c r="P588" s="29">
        <v>39</v>
      </c>
      <c r="Q588">
        <v>444</v>
      </c>
      <c r="R588">
        <v>100</v>
      </c>
      <c r="S588" s="26">
        <v>60</v>
      </c>
      <c r="T588" s="25">
        <f>IFERROR(PROPERTIES[[#This Row],[TE_STARTING_KN]]/(PROPERTIES[[#This Row],[WEIGHT]]*9.81),0)</f>
        <v>0.15682584489923937</v>
      </c>
      <c r="U588" s="25">
        <v>0.26</v>
      </c>
      <c r="V588" s="22">
        <f>ROUND(IF(IFERROR(PROPERTIES[[#This Row],[TE_COEFFICIENT_CALC]],0)=0,PROPERTIES[[#This Row],[TE_COEFFICIENT_MANUAL]],PROPERTIES[[#This Row],[TE_COEFFICIENT_CALC]]),3)</f>
        <v>0.157</v>
      </c>
      <c r="W588" s="10" cm="1">
        <f t="array" ref="W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88" s="32">
        <v>0</v>
      </c>
      <c r="Y588" s="8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8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9" t="b">
        <v>0</v>
      </c>
      <c r="AY588"/>
      <c r="AZ588"/>
      <c r="BA588"/>
    </row>
    <row r="589" spans="1:53">
      <c r="A589" s="2" t="s">
        <v>604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t="s">
        <v>1743</v>
      </c>
      <c r="F589" t="str">
        <f>_xlfn.XLOOKUP(PROPERTIES[[#This Row],[COUNTRY]],COUNTRIES[COUNTRY_DESCRIPTION],COUNTRIES[COUNTRY_LABEL],"")</f>
        <v>CL</v>
      </c>
      <c r="G589" t="str" cm="1">
        <f t="array" ref="G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9" t="s">
        <v>17</v>
      </c>
      <c r="I589">
        <v>40</v>
      </c>
      <c r="J589">
        <v>8</v>
      </c>
      <c r="K589">
        <v>8</v>
      </c>
      <c r="L589" t="str" cm="1">
        <f t="array" ref="L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9">
        <f>_xlfn.XLOOKUP("LOADINGSPEEDDEF_"&amp;PROPERTIES[[#This Row],[LOADINGSPEED]],LOADINGSPEEDDEF[TYPE],LOADINGSPEEDDEF[SPEED])</f>
        <v>40</v>
      </c>
      <c r="N589" cm="1">
        <f t="array" ref="N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9">
        <f>IF(ISNUMBER(SEARCH("passenger",PROPERTIES[[#This Row],[CARGODEF]])),1,0)</f>
        <v>1</v>
      </c>
      <c r="P589" s="29">
        <v>20</v>
      </c>
      <c r="Q589">
        <v>180</v>
      </c>
      <c r="R589">
        <v>60</v>
      </c>
      <c r="S589" s="26">
        <v>22</v>
      </c>
      <c r="T589" s="25">
        <f>IFERROR(PROPERTIES[[#This Row],[TE_STARTING_KN]]/(PROPERTIES[[#This Row],[WEIGHT]]*9.81),0)</f>
        <v>0.11213047910295616</v>
      </c>
      <c r="U589" s="25">
        <v>0.22</v>
      </c>
      <c r="V589" s="22">
        <f>ROUND(IF(IFERROR(PROPERTIES[[#This Row],[TE_COEFFICIENT_CALC]],0)=0,PROPERTIES[[#This Row],[TE_COEFFICIENT_MANUAL]],PROPERTIES[[#This Row],[TE_COEFFICIENT_CALC]]),3)</f>
        <v>0.112</v>
      </c>
      <c r="W589" s="10" cm="1">
        <f t="array" ref="W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9" s="32">
        <v>0</v>
      </c>
      <c r="Y589" s="8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8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9" t="b">
        <v>0</v>
      </c>
      <c r="AY589"/>
      <c r="AZ589"/>
      <c r="BA589"/>
    </row>
    <row r="590" spans="1:53">
      <c r="A590" s="2" t="s">
        <v>605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t="s">
        <v>1707</v>
      </c>
      <c r="F590" t="str">
        <f>_xlfn.XLOOKUP(PROPERTIES[[#This Row],[COUNTRY]],COUNTRIES[COUNTRY_DESCRIPTION],COUNTRIES[COUNTRY_LABEL],"")</f>
        <v>AR</v>
      </c>
      <c r="G590" t="str" cm="1">
        <f t="array" ref="G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0" t="s">
        <v>17</v>
      </c>
      <c r="I590">
        <v>40</v>
      </c>
      <c r="J590">
        <v>7</v>
      </c>
      <c r="K590">
        <v>7</v>
      </c>
      <c r="L590" t="str" cm="1">
        <f t="array" ref="L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0">
        <f>_xlfn.XLOOKUP("LOADINGSPEEDDEF_"&amp;PROPERTIES[[#This Row],[LOADINGSPEED]],LOADINGSPEEDDEF[TYPE],LOADINGSPEEDDEF[SPEED])</f>
        <v>40</v>
      </c>
      <c r="N590" cm="1">
        <f t="array" ref="N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0">
        <f>IF(ISNUMBER(SEARCH("passenger",PROPERTIES[[#This Row],[CARGODEF]])),1,0)</f>
        <v>1</v>
      </c>
      <c r="P590" s="29">
        <v>37</v>
      </c>
      <c r="Q590">
        <v>270</v>
      </c>
      <c r="R590">
        <v>80</v>
      </c>
      <c r="S590" s="26">
        <v>42</v>
      </c>
      <c r="T590" s="25">
        <f>IFERROR(PROPERTIES[[#This Row],[TE_STARTING_KN]]/(PROPERTIES[[#This Row],[WEIGHT]]*9.81),0)</f>
        <v>0.11571204231754689</v>
      </c>
      <c r="U590" s="25">
        <v>0.14000000000000001</v>
      </c>
      <c r="V590" s="22">
        <f>ROUND(IF(IFERROR(PROPERTIES[[#This Row],[TE_COEFFICIENT_CALC]],0)=0,PROPERTIES[[#This Row],[TE_COEFFICIENT_MANUAL]],PROPERTIES[[#This Row],[TE_COEFFICIENT_CALC]]),3)</f>
        <v>0.11600000000000001</v>
      </c>
      <c r="W590" s="10" cm="1">
        <f t="array" ref="W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0" s="32">
        <v>0</v>
      </c>
      <c r="Y590" s="8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8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9" t="b">
        <v>0</v>
      </c>
      <c r="AY590"/>
      <c r="AZ590"/>
      <c r="BA590"/>
    </row>
    <row r="591" spans="1:53">
      <c r="A591" s="2" t="s">
        <v>606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t="s">
        <v>1764</v>
      </c>
      <c r="F591" t="str">
        <f>_xlfn.XLOOKUP(PROPERTIES[[#This Row],[COUNTRY]],COUNTRIES[COUNTRY_DESCRIPTION],COUNTRIES[COUNTRY_LABEL],"")</f>
        <v>ER</v>
      </c>
      <c r="G591" t="str" cm="1">
        <f t="array" ref="G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1" t="s">
        <v>17</v>
      </c>
      <c r="I591">
        <v>62</v>
      </c>
      <c r="J591">
        <v>7</v>
      </c>
      <c r="K591">
        <v>5</v>
      </c>
      <c r="L591" t="str" cm="1">
        <f t="array" ref="L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1">
        <f>_xlfn.XLOOKUP("LOADINGSPEEDDEF_"&amp;PROPERTIES[[#This Row],[LOADINGSPEED]],LOADINGSPEEDDEF[TYPE],LOADINGSPEEDDEF[SPEED])</f>
        <v>40</v>
      </c>
      <c r="N591" cm="1">
        <f t="array" ref="N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1">
        <f>IF(ISNUMBER(SEARCH("passenger",PROPERTIES[[#This Row],[CARGODEF]])),1,0)</f>
        <v>1</v>
      </c>
      <c r="P591" s="29">
        <v>24</v>
      </c>
      <c r="Q591">
        <v>290</v>
      </c>
      <c r="R591">
        <v>80</v>
      </c>
      <c r="S591" s="26">
        <v>32</v>
      </c>
      <c r="T591" s="25">
        <f>IFERROR(PROPERTIES[[#This Row],[TE_STARTING_KN]]/(PROPERTIES[[#This Row],[WEIGHT]]*9.81),0)</f>
        <v>0.13591573224600748</v>
      </c>
      <c r="U591" s="25">
        <v>0.26</v>
      </c>
      <c r="V591" s="22">
        <f>ROUND(IF(IFERROR(PROPERTIES[[#This Row],[TE_COEFFICIENT_CALC]],0)=0,PROPERTIES[[#This Row],[TE_COEFFICIENT_MANUAL]],PROPERTIES[[#This Row],[TE_COEFFICIENT_CALC]]),3)</f>
        <v>0.13600000000000001</v>
      </c>
      <c r="W591" s="10" cm="1">
        <f t="array" ref="W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591" s="32">
        <v>0</v>
      </c>
      <c r="Y591" s="8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8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9" t="b">
        <v>0</v>
      </c>
      <c r="AY591"/>
      <c r="AZ591"/>
      <c r="BA591"/>
    </row>
    <row r="592" spans="1:53">
      <c r="A592" s="2" t="s">
        <v>607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t="s">
        <v>1740</v>
      </c>
      <c r="F592" t="str">
        <f>_xlfn.XLOOKUP(PROPERTIES[[#This Row],[COUNTRY]],COUNTRIES[COUNTRY_DESCRIPTION],COUNTRIES[COUNTRY_LABEL],"")</f>
        <v>CH</v>
      </c>
      <c r="G592" t="str" cm="1">
        <f t="array" ref="G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2" t="s">
        <v>17</v>
      </c>
      <c r="I592">
        <v>32</v>
      </c>
      <c r="J592">
        <v>6</v>
      </c>
      <c r="K592">
        <v>6</v>
      </c>
      <c r="L592" t="str" cm="1">
        <f t="array" ref="L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2">
        <f>_xlfn.XLOOKUP("LOADINGSPEEDDEF_"&amp;PROPERTIES[[#This Row],[LOADINGSPEED]],LOADINGSPEEDDEF[TYPE],LOADINGSPEEDDEF[SPEED])</f>
        <v>40</v>
      </c>
      <c r="N592" cm="1">
        <f t="array" ref="N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2">
        <f>IF(ISNUMBER(SEARCH("passenger",PROPERTIES[[#This Row],[CARGODEF]])),1,0)</f>
        <v>1</v>
      </c>
      <c r="P592" s="29">
        <v>34</v>
      </c>
      <c r="Q592">
        <v>340</v>
      </c>
      <c r="R592">
        <v>35</v>
      </c>
      <c r="S592" s="26">
        <v>78</v>
      </c>
      <c r="T592" s="25">
        <f>IFERROR(PROPERTIES[[#This Row],[TE_STARTING_KN]]/(PROPERTIES[[#This Row],[WEIGHT]]*9.81),0)</f>
        <v>0.23385500989386579</v>
      </c>
      <c r="U592" s="25">
        <v>0.15</v>
      </c>
      <c r="V592" s="22">
        <f>ROUND(IF(IFERROR(PROPERTIES[[#This Row],[TE_COEFFICIENT_CALC]],0)=0,PROPERTIES[[#This Row],[TE_COEFFICIENT_MANUAL]],PROPERTIES[[#This Row],[TE_COEFFICIENT_CALC]]),3)</f>
        <v>0.23400000000000001</v>
      </c>
      <c r="W592" s="10" cm="1">
        <f t="array" ref="W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X592" s="32">
        <v>0</v>
      </c>
      <c r="Y592" s="8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8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9" t="b">
        <v>0</v>
      </c>
      <c r="AY592"/>
      <c r="AZ592"/>
      <c r="BA592"/>
    </row>
    <row r="593" spans="1:53">
      <c r="A593" s="2" t="s">
        <v>608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t="s">
        <v>1740</v>
      </c>
      <c r="F593" t="str">
        <f>_xlfn.XLOOKUP(PROPERTIES[[#This Row],[COUNTRY]],COUNTRIES[COUNTRY_DESCRIPTION],COUNTRIES[COUNTRY_LABEL],"")</f>
        <v>CH</v>
      </c>
      <c r="G593" t="str" cm="1">
        <f t="array" ref="G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3" t="s">
        <v>17</v>
      </c>
      <c r="I593">
        <v>20</v>
      </c>
      <c r="J593">
        <v>4</v>
      </c>
      <c r="K593">
        <v>4</v>
      </c>
      <c r="L593" t="str" cm="1">
        <f t="array" ref="L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3">
        <f>_xlfn.XLOOKUP("LOADINGSPEEDDEF_"&amp;PROPERTIES[[#This Row],[LOADINGSPEED]],LOADINGSPEEDDEF[TYPE],LOADINGSPEEDDEF[SPEED])</f>
        <v>40</v>
      </c>
      <c r="N593" cm="1">
        <f t="array" ref="N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3">
        <f>IF(ISNUMBER(SEARCH("passenger",PROPERTIES[[#This Row],[CARGODEF]])),1,0)</f>
        <v>1</v>
      </c>
      <c r="P593" s="29">
        <v>15</v>
      </c>
      <c r="Q593">
        <v>320</v>
      </c>
      <c r="R593">
        <v>25</v>
      </c>
      <c r="S593" s="26">
        <v>45</v>
      </c>
      <c r="T593" s="25">
        <f>IFERROR(PROPERTIES[[#This Row],[TE_STARTING_KN]]/(PROPERTIES[[#This Row],[WEIGHT]]*9.81),0)</f>
        <v>0.3058103975535168</v>
      </c>
      <c r="U593" s="25">
        <v>0.33</v>
      </c>
      <c r="V593" s="22">
        <f>ROUND(IF(IFERROR(PROPERTIES[[#This Row],[TE_COEFFICIENT_CALC]],0)=0,PROPERTIES[[#This Row],[TE_COEFFICIENT_MANUAL]],PROPERTIES[[#This Row],[TE_COEFFICIENT_CALC]]),3)</f>
        <v>0.30599999999999999</v>
      </c>
      <c r="W593" s="10" cm="1">
        <f t="array" ref="W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3" s="32">
        <v>0</v>
      </c>
      <c r="Y593" s="8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8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9" t="b">
        <v>0</v>
      </c>
      <c r="AY593"/>
      <c r="AZ593"/>
      <c r="BA593"/>
    </row>
    <row r="594" spans="1:53">
      <c r="A594" s="2" t="s">
        <v>609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t="s">
        <v>1740</v>
      </c>
      <c r="F594" t="str">
        <f>_xlfn.XLOOKUP(PROPERTIES[[#This Row],[COUNTRY]],COUNTRIES[COUNTRY_DESCRIPTION],COUNTRIES[COUNTRY_LABEL],"")</f>
        <v>CH</v>
      </c>
      <c r="G594" t="str" cm="1">
        <f t="array" ref="G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4" t="s">
        <v>17</v>
      </c>
      <c r="I594">
        <v>52</v>
      </c>
      <c r="J594">
        <v>8</v>
      </c>
      <c r="K594">
        <v>8</v>
      </c>
      <c r="L594" t="str" cm="1">
        <f t="array" ref="L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4">
        <f>_xlfn.XLOOKUP("LOADINGSPEEDDEF_"&amp;PROPERTIES[[#This Row],[LOADINGSPEED]],LOADINGSPEEDDEF[TYPE],LOADINGSPEEDDEF[SPEED])</f>
        <v>40</v>
      </c>
      <c r="N594" t="str" cm="1">
        <f t="array" ref="N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4">
        <f>IF(ISNUMBER(SEARCH("passenger",PROPERTIES[[#This Row],[CARGODEF]])),1,0)</f>
        <v>1</v>
      </c>
      <c r="P594" s="29">
        <v>32</v>
      </c>
      <c r="Q594">
        <v>574</v>
      </c>
      <c r="R594">
        <v>50</v>
      </c>
      <c r="S594" s="26">
        <v>110</v>
      </c>
      <c r="T594" s="25">
        <f>IFERROR(PROPERTIES[[#This Row],[TE_STARTING_KN]]/(PROPERTIES[[#This Row],[WEIGHT]]*9.81),0)</f>
        <v>0.35040774719673801</v>
      </c>
      <c r="U594" s="25">
        <v>0.27</v>
      </c>
      <c r="V594" s="22">
        <f>ROUND(IF(IFERROR(PROPERTIES[[#This Row],[TE_COEFFICIENT_CALC]],0)=0,PROPERTIES[[#This Row],[TE_COEFFICIENT_MANUAL]],PROPERTIES[[#This Row],[TE_COEFFICIENT_CALC]]),3)</f>
        <v>0.35</v>
      </c>
      <c r="W594" s="10" cm="1">
        <f t="array" ref="W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4" s="32">
        <v>0</v>
      </c>
      <c r="Y594" s="8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8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9" t="b">
        <v>0</v>
      </c>
      <c r="AY594"/>
      <c r="AZ594"/>
      <c r="BA594"/>
    </row>
    <row r="595" spans="1:53">
      <c r="A595" s="2" t="s">
        <v>610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t="s">
        <v>1765</v>
      </c>
      <c r="F595" t="str">
        <f>_xlfn.XLOOKUP(PROPERTIES[[#This Row],[COUNTRY]],COUNTRIES[COUNTRY_DESCRIPTION],COUNTRIES[COUNTRY_LABEL],"")</f>
        <v>ES</v>
      </c>
      <c r="G595" t="str" cm="1">
        <f t="array" ref="G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5" t="s">
        <v>17</v>
      </c>
      <c r="I595">
        <v>36</v>
      </c>
      <c r="J595">
        <v>6</v>
      </c>
      <c r="K595">
        <v>6</v>
      </c>
      <c r="L595" t="str" cm="1">
        <f t="array" ref="L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5">
        <f>_xlfn.XLOOKUP("LOADINGSPEEDDEF_"&amp;PROPERTIES[[#This Row],[LOADINGSPEED]],LOADINGSPEEDDEF[TYPE],LOADINGSPEEDDEF[SPEED])</f>
        <v>40</v>
      </c>
      <c r="N595" cm="1">
        <f t="array" ref="N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5">
        <f>IF(ISNUMBER(SEARCH("passenger",PROPERTIES[[#This Row],[CARGODEF]])),1,0)</f>
        <v>1</v>
      </c>
      <c r="P595" s="29">
        <v>33</v>
      </c>
      <c r="Q595">
        <v>350</v>
      </c>
      <c r="R595">
        <v>45</v>
      </c>
      <c r="S595" s="26">
        <v>52</v>
      </c>
      <c r="T595" s="25">
        <f>IFERROR(PROPERTIES[[#This Row],[TE_STARTING_KN]]/(PROPERTIES[[#This Row],[WEIGHT]]*9.81),0)</f>
        <v>0.16062768356346338</v>
      </c>
      <c r="U595" s="25">
        <v>0.05</v>
      </c>
      <c r="V595" s="22">
        <f>ROUND(IF(IFERROR(PROPERTIES[[#This Row],[TE_COEFFICIENT_CALC]],0)=0,PROPERTIES[[#This Row],[TE_COEFFICIENT_MANUAL]],PROPERTIES[[#This Row],[TE_COEFFICIENT_CALC]]),3)</f>
        <v>0.161</v>
      </c>
      <c r="W595" s="10" cm="1">
        <f t="array" ref="W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5" s="32">
        <v>0</v>
      </c>
      <c r="Y595" s="8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8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9" t="b">
        <v>0</v>
      </c>
      <c r="AY595"/>
      <c r="AZ595"/>
      <c r="BA595"/>
    </row>
    <row r="596" spans="1:53">
      <c r="A596" s="2" t="s">
        <v>611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t="s">
        <v>1810</v>
      </c>
      <c r="F596" t="str">
        <f>_xlfn.XLOOKUP(PROPERTIES[[#This Row],[COUNTRY]],COUNTRIES[COUNTRY_DESCRIPTION],COUNTRIES[COUNTRY_LABEL],"")</f>
        <v>JP</v>
      </c>
      <c r="G596" t="str" cm="1">
        <f t="array" ref="G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6" t="s">
        <v>17</v>
      </c>
      <c r="I596">
        <v>34</v>
      </c>
      <c r="J596">
        <v>7</v>
      </c>
      <c r="K596">
        <v>7</v>
      </c>
      <c r="L596" t="str" cm="1">
        <f t="array" ref="L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6">
        <f>_xlfn.XLOOKUP("LOADINGSPEEDDEF_"&amp;PROPERTIES[[#This Row],[LOADINGSPEED]],LOADINGSPEEDDEF[TYPE],LOADINGSPEEDDEF[SPEED])</f>
        <v>40</v>
      </c>
      <c r="N596" cm="1">
        <f t="array" ref="N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6">
        <f>IF(ISNUMBER(SEARCH("passenger",PROPERTIES[[#This Row],[CARGODEF]])),1,0)</f>
        <v>1</v>
      </c>
      <c r="P596" s="29">
        <v>31</v>
      </c>
      <c r="Q596">
        <v>402</v>
      </c>
      <c r="R596">
        <v>40</v>
      </c>
      <c r="S596" s="26">
        <v>54</v>
      </c>
      <c r="T596" s="25">
        <f>IFERROR(PROPERTIES[[#This Row],[TE_STARTING_KN]]/(PROPERTIES[[#This Row],[WEIGHT]]*9.81),0)</f>
        <v>0.17756732761171942</v>
      </c>
      <c r="U596" s="25">
        <v>0.18</v>
      </c>
      <c r="V596" s="22">
        <f>ROUND(IF(IFERROR(PROPERTIES[[#This Row],[TE_COEFFICIENT_CALC]],0)=0,PROPERTIES[[#This Row],[TE_COEFFICIENT_MANUAL]],PROPERTIES[[#This Row],[TE_COEFFICIENT_CALC]]),3)</f>
        <v>0.17799999999999999</v>
      </c>
      <c r="W596" s="10" cm="1">
        <f t="array" ref="W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6" s="32">
        <v>0</v>
      </c>
      <c r="Y596" s="8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8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9" t="b">
        <v>0</v>
      </c>
      <c r="AY596"/>
      <c r="AZ596"/>
      <c r="BA596"/>
    </row>
    <row r="597" spans="1:53">
      <c r="A597" s="2" t="s">
        <v>612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t="s">
        <v>1740</v>
      </c>
      <c r="F597" t="str">
        <f>_xlfn.XLOOKUP(PROPERTIES[[#This Row],[COUNTRY]],COUNTRIES[COUNTRY_DESCRIPTION],COUNTRIES[COUNTRY_LABEL],"")</f>
        <v>CH</v>
      </c>
      <c r="G597" t="str" cm="1">
        <f t="array" ref="G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7" t="s">
        <v>19</v>
      </c>
      <c r="I597">
        <v>0</v>
      </c>
      <c r="J597">
        <v>6</v>
      </c>
      <c r="K597">
        <v>6</v>
      </c>
      <c r="L597" t="str" cm="1">
        <f t="array" ref="L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7">
        <f>_xlfn.XLOOKUP("LOADINGSPEEDDEF_"&amp;PROPERTIES[[#This Row],[LOADINGSPEED]],LOADINGSPEEDDEF[TYPE],LOADINGSPEEDDEF[SPEED])</f>
        <v>20</v>
      </c>
      <c r="N597" cm="1">
        <f t="array" ref="N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7">
        <f>IF(ISNUMBER(SEARCH("passenger",PROPERTIES[[#This Row],[CARGODEF]])),1,0)</f>
        <v>0</v>
      </c>
      <c r="P597" s="29">
        <v>30</v>
      </c>
      <c r="Q597">
        <v>247</v>
      </c>
      <c r="R597">
        <v>45</v>
      </c>
      <c r="S597" s="26">
        <v>38</v>
      </c>
      <c r="T597" s="25">
        <f>IFERROR(PROPERTIES[[#This Row],[TE_STARTING_KN]]/(PROPERTIES[[#This Row],[WEIGHT]]*9.81),0)</f>
        <v>0.1291199456337071</v>
      </c>
      <c r="U597" s="25">
        <v>0.19</v>
      </c>
      <c r="V597" s="22">
        <f>ROUND(IF(IFERROR(PROPERTIES[[#This Row],[TE_COEFFICIENT_CALC]],0)=0,PROPERTIES[[#This Row],[TE_COEFFICIENT_MANUAL]],PROPERTIES[[#This Row],[TE_COEFFICIENT_CALC]]),3)</f>
        <v>0.129</v>
      </c>
      <c r="W597" s="10" cm="1">
        <f t="array" ref="W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597" s="32">
        <v>0</v>
      </c>
      <c r="Y597" s="8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8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9" t="b">
        <v>0</v>
      </c>
      <c r="AY597"/>
      <c r="AZ597"/>
      <c r="BA597"/>
    </row>
    <row r="598" spans="1:53">
      <c r="A598" s="2" t="s">
        <v>613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t="s">
        <v>1810</v>
      </c>
      <c r="F598" t="str">
        <f>_xlfn.XLOOKUP(PROPERTIES[[#This Row],[COUNTRY]],COUNTRIES[COUNTRY_DESCRIPTION],COUNTRIES[COUNTRY_LABEL],"")</f>
        <v>JP</v>
      </c>
      <c r="G598" t="str" cm="1">
        <f t="array" ref="G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8" t="s">
        <v>19</v>
      </c>
      <c r="I598">
        <v>0</v>
      </c>
      <c r="J598">
        <v>7</v>
      </c>
      <c r="K598">
        <v>7</v>
      </c>
      <c r="L598" t="str" cm="1">
        <f t="array" ref="L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8">
        <f>_xlfn.XLOOKUP("LOADINGSPEEDDEF_"&amp;PROPERTIES[[#This Row],[LOADINGSPEED]],LOADINGSPEEDDEF[TYPE],LOADINGSPEEDDEF[SPEED])</f>
        <v>20</v>
      </c>
      <c r="N598" cm="1">
        <f t="array" ref="N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8">
        <f>IF(ISNUMBER(SEARCH("passenger",PROPERTIES[[#This Row],[CARGODEF]])),1,0)</f>
        <v>0</v>
      </c>
      <c r="P598" s="29">
        <v>102</v>
      </c>
      <c r="Q598">
        <v>1340</v>
      </c>
      <c r="R598">
        <v>65</v>
      </c>
      <c r="S598" s="26">
        <v>213</v>
      </c>
      <c r="T598" s="25">
        <f>IFERROR(PROPERTIES[[#This Row],[TE_STARTING_KN]]/(PROPERTIES[[#This Row],[WEIGHT]]*9.81),0)</f>
        <v>0.21286802182646758</v>
      </c>
      <c r="U598" s="25">
        <v>0.21</v>
      </c>
      <c r="V598" s="22">
        <f>ROUND(IF(IFERROR(PROPERTIES[[#This Row],[TE_COEFFICIENT_CALC]],0)=0,PROPERTIES[[#This Row],[TE_COEFFICIENT_MANUAL]],PROPERTIES[[#This Row],[TE_COEFFICIENT_CALC]]),3)</f>
        <v>0.21299999999999999</v>
      </c>
      <c r="W598" s="10" cm="1">
        <f t="array" ref="W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8" s="32">
        <v>0</v>
      </c>
      <c r="Y598" s="8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8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H598" s="9" t="b">
        <v>0</v>
      </c>
      <c r="AY598"/>
      <c r="AZ598"/>
      <c r="BA598"/>
    </row>
    <row r="599" spans="1:53">
      <c r="A599" s="2" t="s">
        <v>614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t="s">
        <v>1810</v>
      </c>
      <c r="F599" t="str">
        <f>_xlfn.XLOOKUP(PROPERTIES[[#This Row],[COUNTRY]],COUNTRIES[COUNTRY_DESCRIPTION],COUNTRIES[COUNTRY_LABEL],"")</f>
        <v>JP</v>
      </c>
      <c r="G599" t="str" cm="1">
        <f t="array" ref="G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9" t="s">
        <v>19</v>
      </c>
      <c r="I599">
        <v>0</v>
      </c>
      <c r="J599">
        <v>5</v>
      </c>
      <c r="K599">
        <v>9</v>
      </c>
      <c r="L599" t="str" cm="1">
        <f t="array" ref="L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9">
        <f>_xlfn.XLOOKUP("LOADINGSPEEDDEF_"&amp;PROPERTIES[[#This Row],[LOADINGSPEED]],LOADINGSPEEDDEF[TYPE],LOADINGSPEEDDEF[SPEED])</f>
        <v>20</v>
      </c>
      <c r="N599" cm="1">
        <f t="array" ref="N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9">
        <f>IF(ISNUMBER(SEARCH("passenger",PROPERTIES[[#This Row],[CARGODEF]])),1,0)</f>
        <v>0</v>
      </c>
      <c r="P599" s="29">
        <v>31</v>
      </c>
      <c r="Q599">
        <v>200</v>
      </c>
      <c r="R599">
        <v>36</v>
      </c>
      <c r="S599" s="26">
        <v>22</v>
      </c>
      <c r="T599" s="25">
        <f>IFERROR(PROPERTIES[[#This Row],[TE_STARTING_KN]]/(PROPERTIES[[#This Row],[WEIGHT]]*9.81),0)</f>
        <v>7.2342244582552367E-2</v>
      </c>
      <c r="U599" s="25">
        <v>7.0000000000000007E-2</v>
      </c>
      <c r="V599" s="22">
        <f>ROUND(IF(IFERROR(PROPERTIES[[#This Row],[TE_COEFFICIENT_CALC]],0)=0,PROPERTIES[[#This Row],[TE_COEFFICIENT_MANUAL]],PROPERTIES[[#This Row],[TE_COEFFICIENT_CALC]]),3)</f>
        <v>7.1999999999999995E-2</v>
      </c>
      <c r="W599" s="10" cm="1">
        <f t="array" ref="W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599" s="32">
        <v>0</v>
      </c>
      <c r="Y599" s="8">
        <v>4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8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9" t="b">
        <v>0</v>
      </c>
      <c r="AY599"/>
      <c r="AZ599"/>
      <c r="BA599"/>
    </row>
    <row r="600" spans="1:53">
      <c r="A600" s="2" t="s">
        <v>615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t="s">
        <v>1810</v>
      </c>
      <c r="F600" t="str">
        <f>_xlfn.XLOOKUP(PROPERTIES[[#This Row],[COUNTRY]],COUNTRIES[COUNTRY_DESCRIPTION],COUNTRIES[COUNTRY_LABEL],"")</f>
        <v>JP</v>
      </c>
      <c r="G600" t="str" cm="1">
        <f t="array" ref="G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0" t="s">
        <v>19</v>
      </c>
      <c r="I600">
        <v>0</v>
      </c>
      <c r="J600">
        <v>5</v>
      </c>
      <c r="K600">
        <v>5</v>
      </c>
      <c r="L600" t="str" cm="1">
        <f t="array" ref="L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0">
        <f>_xlfn.XLOOKUP("LOADINGSPEEDDEF_"&amp;PROPERTIES[[#This Row],[LOADINGSPEED]],LOADINGSPEEDDEF[TYPE],LOADINGSPEEDDEF[SPEED])</f>
        <v>20</v>
      </c>
      <c r="N600" cm="1">
        <f t="array" ref="N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0">
        <f>IF(ISNUMBER(SEARCH("passenger",PROPERTIES[[#This Row],[CARGODEF]])),1,0)</f>
        <v>0</v>
      </c>
      <c r="P600" s="29">
        <v>32</v>
      </c>
      <c r="Q600">
        <v>186</v>
      </c>
      <c r="R600">
        <v>48</v>
      </c>
      <c r="S600" s="26">
        <v>48</v>
      </c>
      <c r="T600" s="25">
        <f>IFERROR(PROPERTIES[[#This Row],[TE_STARTING_KN]]/(PROPERTIES[[#This Row],[WEIGHT]]*9.81),0)</f>
        <v>0.1529051987767584</v>
      </c>
      <c r="U600" s="25">
        <v>0.15</v>
      </c>
      <c r="V600" s="22">
        <f>ROUND(IF(IFERROR(PROPERTIES[[#This Row],[TE_COEFFICIENT_CALC]],0)=0,PROPERTIES[[#This Row],[TE_COEFFICIENT_MANUAL]],PROPERTIES[[#This Row],[TE_COEFFICIENT_CALC]]),3)</f>
        <v>0.153</v>
      </c>
      <c r="W600" s="10" cm="1">
        <f t="array" ref="W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600" s="32">
        <v>0</v>
      </c>
      <c r="Y600" s="8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8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9" t="b">
        <v>0</v>
      </c>
      <c r="AY600"/>
      <c r="AZ600"/>
      <c r="BA600"/>
    </row>
    <row r="601" spans="1:53">
      <c r="A601" s="2" t="s">
        <v>616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t="s">
        <v>1810</v>
      </c>
      <c r="F601" t="str">
        <f>_xlfn.XLOOKUP(PROPERTIES[[#This Row],[COUNTRY]],COUNTRIES[COUNTRY_DESCRIPTION],COUNTRIES[COUNTRY_LABEL],"")</f>
        <v>JP</v>
      </c>
      <c r="G601" t="str" cm="1">
        <f t="array" ref="G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1" t="s">
        <v>19</v>
      </c>
      <c r="I601">
        <v>0</v>
      </c>
      <c r="J601">
        <v>7</v>
      </c>
      <c r="K601">
        <v>11</v>
      </c>
      <c r="L601" t="str" cm="1">
        <f t="array" ref="L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1">
        <f>_xlfn.XLOOKUP("LOADINGSPEEDDEF_"&amp;PROPERTIES[[#This Row],[LOADINGSPEED]],LOADINGSPEEDDEF[TYPE],LOADINGSPEEDDEF[SPEED])</f>
        <v>20</v>
      </c>
      <c r="N601" cm="1">
        <f t="array" ref="N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1">
        <f>IF(ISNUMBER(SEARCH("passenger",PROPERTIES[[#This Row],[CARGODEF]])),1,0)</f>
        <v>0</v>
      </c>
      <c r="P601" s="29">
        <v>95</v>
      </c>
      <c r="Q601">
        <v>870</v>
      </c>
      <c r="R601">
        <v>65</v>
      </c>
      <c r="S601" s="26">
        <v>139</v>
      </c>
      <c r="T601" s="25">
        <f>IFERROR(PROPERTIES[[#This Row],[TE_STARTING_KN]]/(PROPERTIES[[#This Row],[WEIGHT]]*9.81),0)</f>
        <v>0.14914963249101346</v>
      </c>
      <c r="U601" s="25">
        <v>0.15</v>
      </c>
      <c r="V601" s="22">
        <f>ROUND(IF(IFERROR(PROPERTIES[[#This Row],[TE_COEFFICIENT_CALC]],0)=0,PROPERTIES[[#This Row],[TE_COEFFICIENT_MANUAL]],PROPERTIES[[#This Row],[TE_COEFFICIENT_CALC]]),3)</f>
        <v>0.14899999999999999</v>
      </c>
      <c r="W601" s="10" cm="1">
        <f t="array" ref="W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01" s="32">
        <v>0</v>
      </c>
      <c r="Y601" s="8">
        <v>4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8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9" t="b">
        <v>0</v>
      </c>
      <c r="AY601"/>
      <c r="AZ601"/>
      <c r="BA601"/>
    </row>
    <row r="602" spans="1:53">
      <c r="A602" s="2" t="s">
        <v>617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t="s">
        <v>1810</v>
      </c>
      <c r="F602" t="str">
        <f>_xlfn.XLOOKUP(PROPERTIES[[#This Row],[COUNTRY]],COUNTRIES[COUNTRY_DESCRIPTION],COUNTRIES[COUNTRY_LABEL],"")</f>
        <v>JP</v>
      </c>
      <c r="G602" t="str" cm="1">
        <f t="array" ref="G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2" t="s">
        <v>19</v>
      </c>
      <c r="I602">
        <v>0</v>
      </c>
      <c r="J602">
        <v>6</v>
      </c>
      <c r="K602">
        <v>10</v>
      </c>
      <c r="L602" t="str" cm="1">
        <f t="array" ref="L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2">
        <f>_xlfn.XLOOKUP("LOADINGSPEEDDEF_"&amp;PROPERTIES[[#This Row],[LOADINGSPEED]],LOADINGSPEEDDEF[TYPE],LOADINGSPEEDDEF[SPEED])</f>
        <v>20</v>
      </c>
      <c r="N602" cm="1">
        <f t="array" ref="N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2">
        <f>IF(ISNUMBER(SEARCH("passenger",PROPERTIES[[#This Row],[CARGODEF]])),1,0)</f>
        <v>0</v>
      </c>
      <c r="P602" s="29">
        <v>122</v>
      </c>
      <c r="Q602">
        <v>1280</v>
      </c>
      <c r="R602">
        <v>70</v>
      </c>
      <c r="S602" s="26">
        <v>166</v>
      </c>
      <c r="T602" s="25">
        <f>IFERROR(PROPERTIES[[#This Row],[TE_STARTING_KN]]/(PROPERTIES[[#This Row],[WEIGHT]]*9.81),0)</f>
        <v>0.13870089069367153</v>
      </c>
      <c r="U602" s="25">
        <v>0.16</v>
      </c>
      <c r="V602" s="22">
        <f>ROUND(IF(IFERROR(PROPERTIES[[#This Row],[TE_COEFFICIENT_CALC]],0)=0,PROPERTIES[[#This Row],[TE_COEFFICIENT_MANUAL]],PROPERTIES[[#This Row],[TE_COEFFICIENT_CALC]]),3)</f>
        <v>0.13900000000000001</v>
      </c>
      <c r="W602" s="10" cm="1">
        <f t="array" ref="W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02" s="32">
        <v>0</v>
      </c>
      <c r="Y602" s="8">
        <v>4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8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9" t="b">
        <v>0</v>
      </c>
      <c r="AY602"/>
      <c r="AZ602"/>
      <c r="BA602"/>
    </row>
    <row r="603" spans="1:53">
      <c r="A603" s="2" t="s">
        <v>618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t="s">
        <v>1810</v>
      </c>
      <c r="F603" t="str">
        <f>_xlfn.XLOOKUP(PROPERTIES[[#This Row],[COUNTRY]],COUNTRIES[COUNTRY_DESCRIPTION],COUNTRIES[COUNTRY_LABEL],"")</f>
        <v>JP</v>
      </c>
      <c r="G603" t="str" cm="1">
        <f t="array" ref="G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03" t="s">
        <v>19</v>
      </c>
      <c r="I603">
        <v>0</v>
      </c>
      <c r="J603">
        <v>7</v>
      </c>
      <c r="K603">
        <v>7</v>
      </c>
      <c r="L603" t="str" cm="1">
        <f t="array" ref="L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3">
        <f>_xlfn.XLOOKUP("LOADINGSPEEDDEF_"&amp;PROPERTIES[[#This Row],[LOADINGSPEED]],LOADINGSPEEDDEF[TYPE],LOADINGSPEEDDEF[SPEED])</f>
        <v>20</v>
      </c>
      <c r="N603" cm="1">
        <f t="array" ref="N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3">
        <f>IF(ISNUMBER(SEARCH("passenger",PROPERTIES[[#This Row],[CARGODEF]])),1,0)</f>
        <v>0</v>
      </c>
      <c r="P603" s="29">
        <v>85</v>
      </c>
      <c r="Q603">
        <v>1060</v>
      </c>
      <c r="R603">
        <v>90</v>
      </c>
      <c r="S603" s="26">
        <v>123</v>
      </c>
      <c r="T603" s="25">
        <f>IFERROR(PROPERTIES[[#This Row],[TE_STARTING_KN]]/(PROPERTIES[[#This Row],[WEIGHT]]*9.81),0)</f>
        <v>0.14750854470228458</v>
      </c>
      <c r="U603" s="25">
        <v>0.28999999999999998</v>
      </c>
      <c r="V603" s="22">
        <f>ROUND(IF(IFERROR(PROPERTIES[[#This Row],[TE_COEFFICIENT_CALC]],0)=0,PROPERTIES[[#This Row],[TE_COEFFICIENT_MANUAL]],PROPERTIES[[#This Row],[TE_COEFFICIENT_CALC]]),3)</f>
        <v>0.14799999999999999</v>
      </c>
      <c r="W603" s="10" cm="1">
        <f t="array" ref="W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3" s="32">
        <v>0</v>
      </c>
      <c r="Y603" s="8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8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9" t="b">
        <v>0</v>
      </c>
      <c r="AY603"/>
      <c r="AZ603"/>
      <c r="BA603"/>
    </row>
    <row r="604" spans="1:53">
      <c r="A604" s="2" t="s">
        <v>619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t="s">
        <v>1740</v>
      </c>
      <c r="F604" t="str">
        <f>_xlfn.XLOOKUP(PROPERTIES[[#This Row],[COUNTRY]],COUNTRIES[COUNTRY_DESCRIPTION],COUNTRIES[COUNTRY_LABEL],"")</f>
        <v>CH</v>
      </c>
      <c r="G604" t="str" cm="1">
        <f t="array" ref="G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4" t="s">
        <v>19</v>
      </c>
      <c r="I604">
        <v>0</v>
      </c>
      <c r="J604">
        <v>5</v>
      </c>
      <c r="K604">
        <v>5</v>
      </c>
      <c r="L604" t="str" cm="1">
        <f t="array" ref="L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4">
        <f>_xlfn.XLOOKUP("LOADINGSPEEDDEF_"&amp;PROPERTIES[[#This Row],[LOADINGSPEED]],LOADINGSPEEDDEF[TYPE],LOADINGSPEEDDEF[SPEED])</f>
        <v>20</v>
      </c>
      <c r="N604" cm="1">
        <f t="array" ref="N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4">
        <f>IF(ISNUMBER(SEARCH("passenger",PROPERTIES[[#This Row],[CARGODEF]])),1,0)</f>
        <v>0</v>
      </c>
      <c r="P604" s="29">
        <v>16</v>
      </c>
      <c r="Q604">
        <v>200</v>
      </c>
      <c r="R604">
        <v>45</v>
      </c>
      <c r="S604" s="26">
        <v>24.5</v>
      </c>
      <c r="T604" s="25">
        <f>IFERROR(PROPERTIES[[#This Row],[TE_STARTING_KN]]/(PROPERTIES[[#This Row],[WEIGHT]]*9.81),0)</f>
        <v>0.1560907237512742</v>
      </c>
      <c r="U604" s="25">
        <v>0.3</v>
      </c>
      <c r="V604" s="22">
        <f>ROUND(IF(IFERROR(PROPERTIES[[#This Row],[TE_COEFFICIENT_CALC]],0)=0,PROPERTIES[[#This Row],[TE_COEFFICIENT_MANUAL]],PROPERTIES[[#This Row],[TE_COEFFICIENT_CALC]]),3)</f>
        <v>0.156</v>
      </c>
      <c r="W604" s="10" cm="1">
        <f t="array" ref="W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X604" s="32">
        <v>0</v>
      </c>
      <c r="Y604" s="8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8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9" t="b">
        <v>0</v>
      </c>
      <c r="AY604"/>
      <c r="AZ604"/>
      <c r="BA604"/>
    </row>
    <row r="605" spans="1:53">
      <c r="A605" s="2" t="s">
        <v>620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t="s">
        <v>1810</v>
      </c>
      <c r="F605" t="str">
        <f>_xlfn.XLOOKUP(PROPERTIES[[#This Row],[COUNTRY]],COUNTRIES[COUNTRY_DESCRIPTION],COUNTRIES[COUNTRY_LABEL],"")</f>
        <v>JP</v>
      </c>
      <c r="G605" t="str" cm="1">
        <f t="array" ref="G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5" t="s">
        <v>19</v>
      </c>
      <c r="I605">
        <v>0</v>
      </c>
      <c r="J605">
        <v>7</v>
      </c>
      <c r="K605">
        <v>14</v>
      </c>
      <c r="L605" t="str" cm="1">
        <f t="array" ref="L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5">
        <f>_xlfn.XLOOKUP("LOADINGSPEEDDEF_"&amp;PROPERTIES[[#This Row],[LOADINGSPEED]],LOADINGSPEEDDEF[TYPE],LOADINGSPEEDDEF[SPEED])</f>
        <v>20</v>
      </c>
      <c r="N605" cm="1">
        <f t="array" ref="N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5">
        <f>IF(ISNUMBER(SEARCH("passenger",PROPERTIES[[#This Row],[CARGODEF]])),1,0)</f>
        <v>0</v>
      </c>
      <c r="P605" s="29">
        <v>116</v>
      </c>
      <c r="Q605">
        <v>3390</v>
      </c>
      <c r="R605">
        <v>110</v>
      </c>
      <c r="S605" s="26">
        <v>238</v>
      </c>
      <c r="T605" s="25">
        <f>IFERROR(PROPERTIES[[#This Row],[TE_STARTING_KN]]/(PROPERTIES[[#This Row],[WEIGHT]]*9.81),0)</f>
        <v>0.20914619143027874</v>
      </c>
      <c r="U605" s="25">
        <v>0.16</v>
      </c>
      <c r="V605" s="22">
        <f>ROUND(IF(IFERROR(PROPERTIES[[#This Row],[TE_COEFFICIENT_CALC]],0)=0,PROPERTIES[[#This Row],[TE_COEFFICIENT_MANUAL]],PROPERTIES[[#This Row],[TE_COEFFICIENT_CALC]]),3)</f>
        <v>0.20899999999999999</v>
      </c>
      <c r="W605" s="10" cm="1">
        <f t="array" ref="W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5" s="32">
        <v>0</v>
      </c>
      <c r="Y605" s="8">
        <v>7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8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9" t="b">
        <v>0</v>
      </c>
      <c r="AY605"/>
      <c r="AZ605"/>
      <c r="BA605"/>
    </row>
    <row r="606" spans="1:53">
      <c r="A606" s="2" t="s">
        <v>621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t="s">
        <v>1810</v>
      </c>
      <c r="F606" t="str">
        <f>_xlfn.XLOOKUP(PROPERTIES[[#This Row],[COUNTRY]],COUNTRIES[COUNTRY_DESCRIPTION],COUNTRIES[COUNTRY_LABEL],"")</f>
        <v>JP</v>
      </c>
      <c r="G606" t="str" cm="1">
        <f t="array" ref="G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6" t="s">
        <v>19</v>
      </c>
      <c r="I606">
        <v>0</v>
      </c>
      <c r="J606">
        <v>8</v>
      </c>
      <c r="K606">
        <v>8</v>
      </c>
      <c r="L606" t="str" cm="1">
        <f t="array" ref="L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6">
        <f>_xlfn.XLOOKUP("LOADINGSPEEDDEF_"&amp;PROPERTIES[[#This Row],[LOADINGSPEED]],LOADINGSPEEDDEF[TYPE],LOADINGSPEEDDEF[SPEED])</f>
        <v>20</v>
      </c>
      <c r="N606" t="str" cm="1">
        <f t="array" ref="N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6">
        <f>IF(ISNUMBER(SEARCH("passenger",PROPERTIES[[#This Row],[CARGODEF]])),1,0)</f>
        <v>0</v>
      </c>
      <c r="P606" s="29">
        <v>96</v>
      </c>
      <c r="Q606">
        <v>3420</v>
      </c>
      <c r="R606">
        <v>100</v>
      </c>
      <c r="S606" s="26">
        <v>196</v>
      </c>
      <c r="T606" s="25">
        <f>IFERROR(PROPERTIES[[#This Row],[TE_STARTING_KN]]/(PROPERTIES[[#This Row],[WEIGHT]]*9.81),0)</f>
        <v>0.20812096500169894</v>
      </c>
      <c r="U606" s="25">
        <v>0.3</v>
      </c>
      <c r="V606" s="22">
        <f>ROUND(IF(IFERROR(PROPERTIES[[#This Row],[TE_COEFFICIENT_CALC]],0)=0,PROPERTIES[[#This Row],[TE_COEFFICIENT_MANUAL]],PROPERTIES[[#This Row],[TE_COEFFICIENT_CALC]]),3)</f>
        <v>0.20799999999999999</v>
      </c>
      <c r="W606" s="10" cm="1">
        <f t="array" ref="W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X606" s="32">
        <v>0</v>
      </c>
      <c r="Y606" s="8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8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9" t="b">
        <v>0</v>
      </c>
      <c r="AY606"/>
      <c r="AZ606"/>
      <c r="BA606"/>
    </row>
    <row r="607" spans="1:53">
      <c r="A607" s="2" t="s">
        <v>622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t="s">
        <v>1867</v>
      </c>
      <c r="F607" t="str">
        <f>_xlfn.XLOOKUP(PROPERTIES[[#This Row],[COUNTRY]],COUNTRIES[COUNTRY_DESCRIPTION],COUNTRIES[COUNTRY_LABEL],"")</f>
        <v>NZ</v>
      </c>
      <c r="G607" t="str" cm="1">
        <f t="array" ref="G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7" t="s">
        <v>19</v>
      </c>
      <c r="I607">
        <v>0</v>
      </c>
      <c r="J607">
        <v>7</v>
      </c>
      <c r="K607">
        <v>7</v>
      </c>
      <c r="L607" t="str" cm="1">
        <f t="array" ref="L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7">
        <f>_xlfn.XLOOKUP("LOADINGSPEEDDEF_"&amp;PROPERTIES[[#This Row],[LOADINGSPEED]],LOADINGSPEEDDEF[TYPE],LOADINGSPEEDDEF[SPEED])</f>
        <v>20</v>
      </c>
      <c r="N607" cm="1">
        <f t="array" ref="N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7">
        <f>IF(ISNUMBER(SEARCH("passenger",PROPERTIES[[#This Row],[CARGODEF]])),1,0)</f>
        <v>0</v>
      </c>
      <c r="P607" s="29">
        <v>50</v>
      </c>
      <c r="Q607">
        <v>680</v>
      </c>
      <c r="R607">
        <v>64</v>
      </c>
      <c r="S607" s="26">
        <v>63</v>
      </c>
      <c r="T607" s="25">
        <f>IFERROR(PROPERTIES[[#This Row],[TE_STARTING_KN]]/(PROPERTIES[[#This Row],[WEIGHT]]*9.81),0)</f>
        <v>0.12844036697247707</v>
      </c>
      <c r="U607" s="25">
        <v>0.13</v>
      </c>
      <c r="V607" s="22">
        <f>ROUND(IF(IFERROR(PROPERTIES[[#This Row],[TE_COEFFICIENT_CALC]],0)=0,PROPERTIES[[#This Row],[TE_COEFFICIENT_MANUAL]],PROPERTIES[[#This Row],[TE_COEFFICIENT_CALC]]),3)</f>
        <v>0.128</v>
      </c>
      <c r="W607" s="10" cm="1">
        <f t="array" ref="W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07" s="32">
        <v>0</v>
      </c>
      <c r="Y607" s="8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8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9" t="b">
        <v>0</v>
      </c>
      <c r="AY607"/>
      <c r="AZ607"/>
      <c r="BA607"/>
    </row>
    <row r="608" spans="1:53">
      <c r="A608" s="2" t="s">
        <v>623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t="s">
        <v>1710</v>
      </c>
      <c r="F608" t="str">
        <f>_xlfn.XLOOKUP(PROPERTIES[[#This Row],[COUNTRY]],COUNTRIES[COUNTRY_DESCRIPTION],COUNTRIES[COUNTRY_LABEL],"")</f>
        <v>AU</v>
      </c>
      <c r="G608" t="str" cm="1">
        <f t="array" ref="G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8" t="s">
        <v>19</v>
      </c>
      <c r="I608">
        <v>0</v>
      </c>
      <c r="J608">
        <v>7</v>
      </c>
      <c r="K608">
        <v>7</v>
      </c>
      <c r="L608" t="str" cm="1">
        <f t="array" ref="L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8">
        <f>_xlfn.XLOOKUP("LOADINGSPEEDDEF_"&amp;PROPERTIES[[#This Row],[LOADINGSPEED]],LOADINGSPEEDDEF[TYPE],LOADINGSPEEDDEF[SPEED])</f>
        <v>20</v>
      </c>
      <c r="N608" cm="1">
        <f t="array" ref="N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8">
        <f>IF(ISNUMBER(SEARCH("passenger",PROPERTIES[[#This Row],[CARGODEF]])),1,0)</f>
        <v>0</v>
      </c>
      <c r="P608" s="29">
        <v>110</v>
      </c>
      <c r="Q608">
        <v>2700</v>
      </c>
      <c r="R608">
        <v>113</v>
      </c>
      <c r="S608" s="26">
        <v>267</v>
      </c>
      <c r="T608" s="25">
        <f>IFERROR(PROPERTIES[[#This Row],[TE_STARTING_KN]]/(PROPERTIES[[#This Row],[WEIGHT]]*9.81),0)</f>
        <v>0.24742841256602721</v>
      </c>
      <c r="U608" s="25">
        <v>0.11</v>
      </c>
      <c r="V608" s="22">
        <f>ROUND(IF(IFERROR(PROPERTIES[[#This Row],[TE_COEFFICIENT_CALC]],0)=0,PROPERTIES[[#This Row],[TE_COEFFICIENT_MANUAL]],PROPERTIES[[#This Row],[TE_COEFFICIENT_CALC]]),3)</f>
        <v>0.247</v>
      </c>
      <c r="W608" s="10" cm="1">
        <f t="array" ref="W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8" s="32">
        <v>0</v>
      </c>
      <c r="Y608" s="8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8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9" t="b">
        <v>0</v>
      </c>
      <c r="AY608"/>
      <c r="AZ608"/>
      <c r="BA608"/>
    </row>
    <row r="609" spans="1:53">
      <c r="A609" s="2" t="s">
        <v>624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t="s">
        <v>1942</v>
      </c>
      <c r="F609" t="str">
        <f>_xlfn.XLOOKUP(PROPERTIES[[#This Row],[COUNTRY]],COUNTRIES[COUNTRY_DESCRIPTION],COUNTRIES[COUNTRY_LABEL],"")</f>
        <v>ZA</v>
      </c>
      <c r="G609" t="str" cm="1">
        <f t="array" ref="G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9" t="s">
        <v>19</v>
      </c>
      <c r="I609">
        <v>0</v>
      </c>
      <c r="J609">
        <v>8</v>
      </c>
      <c r="K609">
        <v>8</v>
      </c>
      <c r="L609" t="str" cm="1">
        <f t="array" ref="L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9">
        <f>_xlfn.XLOOKUP("LOADINGSPEEDDEF_"&amp;PROPERTIES[[#This Row],[LOADINGSPEED]],LOADINGSPEEDDEF[TYPE],LOADINGSPEEDDEF[SPEED])</f>
        <v>20</v>
      </c>
      <c r="N609" cm="1">
        <f t="array" ref="N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9">
        <f>IF(ISNUMBER(SEARCH("passenger",PROPERTIES[[#This Row],[CARGODEF]])),1,0)</f>
        <v>0</v>
      </c>
      <c r="P609" s="29">
        <v>155</v>
      </c>
      <c r="Q609">
        <v>2520</v>
      </c>
      <c r="R609">
        <v>97</v>
      </c>
      <c r="S609" s="26">
        <v>322</v>
      </c>
      <c r="T609" s="25">
        <f>IFERROR(PROPERTIES[[#This Row],[TE_STARTING_KN]]/(PROPERTIES[[#This Row],[WEIGHT]]*9.81),0)</f>
        <v>0.21176547959619871</v>
      </c>
      <c r="U609" s="25">
        <v>0.09</v>
      </c>
      <c r="V609" s="22">
        <f>ROUND(IF(IFERROR(PROPERTIES[[#This Row],[TE_COEFFICIENT_CALC]],0)=0,PROPERTIES[[#This Row],[TE_COEFFICIENT_MANUAL]],PROPERTIES[[#This Row],[TE_COEFFICIENT_CALC]]),3)</f>
        <v>0.21199999999999999</v>
      </c>
      <c r="W609" s="10" cm="1">
        <f t="array" ref="W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9" s="32">
        <v>0</v>
      </c>
      <c r="Y609" s="8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8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9" t="b">
        <v>0</v>
      </c>
      <c r="AY609"/>
      <c r="AZ609"/>
      <c r="BA609"/>
    </row>
    <row r="610" spans="1:53">
      <c r="A610" s="2" t="s">
        <v>625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t="s">
        <v>1942</v>
      </c>
      <c r="F610" t="str">
        <f>_xlfn.XLOOKUP(PROPERTIES[[#This Row],[COUNTRY]],COUNTRIES[COUNTRY_DESCRIPTION],COUNTRIES[COUNTRY_LABEL],"")</f>
        <v>ZA</v>
      </c>
      <c r="G610" t="str" cm="1">
        <f t="array" ref="G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0" t="s">
        <v>19</v>
      </c>
      <c r="I610">
        <v>0</v>
      </c>
      <c r="J610">
        <v>7</v>
      </c>
      <c r="K610">
        <v>7</v>
      </c>
      <c r="L610" t="str" cm="1">
        <f t="array" ref="L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0">
        <f>_xlfn.XLOOKUP("LOADINGSPEEDDEF_"&amp;PROPERTIES[[#This Row],[LOADINGSPEED]],LOADINGSPEEDDEF[TYPE],LOADINGSPEEDDEF[SPEED])</f>
        <v>20</v>
      </c>
      <c r="N610" cm="1">
        <f t="array" ref="N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0">
        <f>IF(ISNUMBER(SEARCH("passenger",PROPERTIES[[#This Row],[CARGODEF]])),1,0)</f>
        <v>0</v>
      </c>
      <c r="P610" s="29">
        <v>86</v>
      </c>
      <c r="Q610">
        <v>1953</v>
      </c>
      <c r="R610">
        <v>97</v>
      </c>
      <c r="S610" s="26">
        <v>250</v>
      </c>
      <c r="T610" s="25">
        <f>IFERROR(PROPERTIES[[#This Row],[TE_STARTING_KN]]/(PROPERTIES[[#This Row],[WEIGHT]]*9.81),0)</f>
        <v>0.29632790460612091</v>
      </c>
      <c r="U610" s="25">
        <v>0.15</v>
      </c>
      <c r="V610" s="22">
        <f>ROUND(IF(IFERROR(PROPERTIES[[#This Row],[TE_COEFFICIENT_CALC]],0)=0,PROPERTIES[[#This Row],[TE_COEFFICIENT_MANUAL]],PROPERTIES[[#This Row],[TE_COEFFICIENT_CALC]]),3)</f>
        <v>0.29599999999999999</v>
      </c>
      <c r="W610" s="10" cm="1">
        <f t="array" ref="W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0" s="32">
        <v>0</v>
      </c>
      <c r="Y610" s="8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8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9" t="b">
        <v>0</v>
      </c>
      <c r="AY610"/>
      <c r="AZ610"/>
      <c r="BA610"/>
    </row>
    <row r="611" spans="1:53">
      <c r="A611" s="2" t="s">
        <v>626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t="s">
        <v>1942</v>
      </c>
      <c r="F611" t="str">
        <f>_xlfn.XLOOKUP(PROPERTIES[[#This Row],[COUNTRY]],COUNTRIES[COUNTRY_DESCRIPTION],COUNTRIES[COUNTRY_LABEL],"")</f>
        <v>ZA</v>
      </c>
      <c r="G611" t="str" cm="1">
        <f t="array" ref="G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1" t="s">
        <v>19</v>
      </c>
      <c r="I611">
        <v>0</v>
      </c>
      <c r="J611">
        <v>8</v>
      </c>
      <c r="K611">
        <v>8</v>
      </c>
      <c r="L611" t="str" cm="1">
        <f t="array" ref="L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1">
        <f>_xlfn.XLOOKUP("LOADINGSPEEDDEF_"&amp;PROPERTIES[[#This Row],[LOADINGSPEED]],LOADINGSPEEDDEF[TYPE],LOADINGSPEEDDEF[SPEED])</f>
        <v>20</v>
      </c>
      <c r="N611" cm="1">
        <f t="array" ref="N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1">
        <f>IF(ISNUMBER(SEARCH("passenger",PROPERTIES[[#This Row],[CARGODEF]])),1,0)</f>
        <v>0</v>
      </c>
      <c r="P611" s="29">
        <v>89</v>
      </c>
      <c r="Q611">
        <v>3020</v>
      </c>
      <c r="R611">
        <v>113</v>
      </c>
      <c r="S611" s="26">
        <v>311</v>
      </c>
      <c r="T611" s="25">
        <f>IFERROR(PROPERTIES[[#This Row],[TE_STARTING_KN]]/(PROPERTIES[[#This Row],[WEIGHT]]*9.81),0)</f>
        <v>0.35620611849866562</v>
      </c>
      <c r="U611" s="25">
        <v>0.22</v>
      </c>
      <c r="V611" s="22">
        <f>ROUND(IF(IFERROR(PROPERTIES[[#This Row],[TE_COEFFICIENT_CALC]],0)=0,PROPERTIES[[#This Row],[TE_COEFFICIENT_MANUAL]],PROPERTIES[[#This Row],[TE_COEFFICIENT_CALC]]),3)</f>
        <v>0.35599999999999998</v>
      </c>
      <c r="W611" s="10" cm="1">
        <f t="array" ref="W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1" s="32">
        <v>0</v>
      </c>
      <c r="Y611" s="8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8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9" t="b">
        <v>0</v>
      </c>
      <c r="AY611"/>
      <c r="AZ611"/>
      <c r="BA611"/>
    </row>
    <row r="612" spans="1:53">
      <c r="A612" s="2" t="s">
        <v>627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t="s">
        <v>1740</v>
      </c>
      <c r="F612" t="str">
        <f>_xlfn.XLOOKUP(PROPERTIES[[#This Row],[COUNTRY]],COUNTRIES[COUNTRY_DESCRIPTION],COUNTRIES[COUNTRY_LABEL],"")</f>
        <v>CH</v>
      </c>
      <c r="G612" t="str" cm="1">
        <f t="array" ref="G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2" t="s">
        <v>19</v>
      </c>
      <c r="I612">
        <v>0</v>
      </c>
      <c r="J612">
        <v>8</v>
      </c>
      <c r="K612">
        <v>8</v>
      </c>
      <c r="L612" t="str" cm="1">
        <f t="array" ref="L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2">
        <f>_xlfn.XLOOKUP("LOADINGSPEEDDEF_"&amp;PROPERTIES[[#This Row],[LOADINGSPEED]],LOADINGSPEEDDEF[TYPE],LOADINGSPEEDDEF[SPEED])</f>
        <v>20</v>
      </c>
      <c r="N612" cm="1">
        <f t="array" ref="N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2">
        <f>IF(ISNUMBER(SEARCH("passenger",PROPERTIES[[#This Row],[CARGODEF]])),1,0)</f>
        <v>0</v>
      </c>
      <c r="P612" s="29">
        <v>47</v>
      </c>
      <c r="Q612">
        <v>1590</v>
      </c>
      <c r="R612">
        <v>80</v>
      </c>
      <c r="S612" s="26">
        <v>135</v>
      </c>
      <c r="T612" s="25">
        <f>IFERROR(PROPERTIES[[#This Row],[TE_STARTING_KN]]/(PROPERTIES[[#This Row],[WEIGHT]]*9.81),0)</f>
        <v>0.29279718914698416</v>
      </c>
      <c r="U612" s="25">
        <v>0.3</v>
      </c>
      <c r="V612" s="22">
        <f>ROUND(IF(IFERROR(PROPERTIES[[#This Row],[TE_COEFFICIENT_CALC]],0)=0,PROPERTIES[[#This Row],[TE_COEFFICIENT_MANUAL]],PROPERTIES[[#This Row],[TE_COEFFICIENT_CALC]]),3)</f>
        <v>0.29299999999999998</v>
      </c>
      <c r="W612" s="10" cm="1">
        <f t="array" ref="W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12" s="32">
        <v>0</v>
      </c>
      <c r="Y612" s="8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8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9" t="b">
        <v>0</v>
      </c>
      <c r="AY612"/>
      <c r="AZ612"/>
      <c r="BA612"/>
    </row>
    <row r="613" spans="1:53">
      <c r="A613" s="2" t="s">
        <v>628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t="s">
        <v>1740</v>
      </c>
      <c r="F613" t="str">
        <f>_xlfn.XLOOKUP(PROPERTIES[[#This Row],[COUNTRY]],COUNTRIES[COUNTRY_DESCRIPTION],COUNTRIES[COUNTRY_LABEL],"")</f>
        <v>CH</v>
      </c>
      <c r="G613" t="str" cm="1">
        <f t="array" ref="G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3" t="s">
        <v>19</v>
      </c>
      <c r="I613">
        <v>0</v>
      </c>
      <c r="J613">
        <v>8</v>
      </c>
      <c r="K613">
        <v>8</v>
      </c>
      <c r="L613" t="str" cm="1">
        <f t="array" ref="L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3">
        <f>_xlfn.XLOOKUP("LOADINGSPEEDDEF_"&amp;PROPERTIES[[#This Row],[LOADINGSPEED]],LOADINGSPEEDDEF[TYPE],LOADINGSPEEDDEF[SPEED])</f>
        <v>20</v>
      </c>
      <c r="N613" cm="1">
        <f t="array" ref="N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3">
        <f>IF(ISNUMBER(SEARCH("passenger",PROPERTIES[[#This Row],[CARGODEF]])),1,0)</f>
        <v>0</v>
      </c>
      <c r="P613" s="29">
        <v>66</v>
      </c>
      <c r="Q613">
        <v>1260</v>
      </c>
      <c r="R613">
        <v>55</v>
      </c>
      <c r="S613" s="26">
        <v>131</v>
      </c>
      <c r="T613" s="25">
        <f>IFERROR(PROPERTIES[[#This Row],[TE_STARTING_KN]]/(PROPERTIES[[#This Row],[WEIGHT]]*9.81),0)</f>
        <v>0.20232910141167021</v>
      </c>
      <c r="U613" s="25">
        <v>0.26</v>
      </c>
      <c r="V613" s="22">
        <f>ROUND(IF(IFERROR(PROPERTIES[[#This Row],[TE_COEFFICIENT_CALC]],0)=0,PROPERTIES[[#This Row],[TE_COEFFICIENT_MANUAL]],PROPERTIES[[#This Row],[TE_COEFFICIENT_CALC]]),3)</f>
        <v>0.20200000000000001</v>
      </c>
      <c r="W613" s="10" cm="1">
        <f t="array" ref="W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613" s="32">
        <v>0</v>
      </c>
      <c r="Y613" s="8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8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9" t="b">
        <v>0</v>
      </c>
      <c r="AY613"/>
      <c r="AZ613"/>
      <c r="BA613"/>
    </row>
    <row r="614" spans="1:53">
      <c r="A614" s="2" t="s">
        <v>629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t="s">
        <v>1728</v>
      </c>
      <c r="F614" t="str">
        <f>_xlfn.XLOOKUP(PROPERTIES[[#This Row],[COUNTRY]],COUNTRIES[COUNTRY_DESCRIPTION],COUNTRIES[COUNTRY_LABEL],"")</f>
        <v>BR</v>
      </c>
      <c r="G614" t="str" cm="1">
        <f t="array" ref="G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4" t="s">
        <v>19</v>
      </c>
      <c r="I614">
        <v>0</v>
      </c>
      <c r="J614">
        <v>7</v>
      </c>
      <c r="K614">
        <v>7</v>
      </c>
      <c r="L614" t="str" cm="1">
        <f t="array" ref="L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4">
        <f>_xlfn.XLOOKUP("LOADINGSPEEDDEF_"&amp;PROPERTIES[[#This Row],[LOADINGSPEED]],LOADINGSPEEDDEF[TYPE],LOADINGSPEEDDEF[SPEED])</f>
        <v>20</v>
      </c>
      <c r="N614" t="str" cm="1">
        <f t="array" ref="N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4">
        <f>IF(ISNUMBER(SEARCH("passenger",PROPERTIES[[#This Row],[CARGODEF]])),1,0)</f>
        <v>0</v>
      </c>
      <c r="P614" s="29">
        <v>121</v>
      </c>
      <c r="Q614">
        <v>6710</v>
      </c>
      <c r="R614">
        <v>60</v>
      </c>
      <c r="S614" s="26">
        <v>760</v>
      </c>
      <c r="T614" s="25">
        <f>IFERROR(PROPERTIES[[#This Row],[TE_STARTING_KN]]/(PROPERTIES[[#This Row],[WEIGHT]]*9.81),0)</f>
        <v>0.64026419322499395</v>
      </c>
      <c r="U614" s="25">
        <v>0.63</v>
      </c>
      <c r="V614" s="22">
        <f>ROUND(IF(IFERROR(PROPERTIES[[#This Row],[TE_COEFFICIENT_CALC]],0)=0,PROPERTIES[[#This Row],[TE_COEFFICIENT_MANUAL]],PROPERTIES[[#This Row],[TE_COEFFICIENT_CALC]]),3)</f>
        <v>0.64</v>
      </c>
      <c r="W614" s="10" cm="1">
        <f t="array" ref="W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4" s="32">
        <v>0</v>
      </c>
      <c r="Y614" s="8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8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9" t="b">
        <v>0</v>
      </c>
      <c r="AY614"/>
      <c r="AZ614"/>
      <c r="BA614"/>
    </row>
    <row r="615" spans="1:53">
      <c r="A615" s="2" t="s">
        <v>630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t="s">
        <v>1942</v>
      </c>
      <c r="F615" t="str">
        <f>_xlfn.XLOOKUP(PROPERTIES[[#This Row],[COUNTRY]],COUNTRIES[COUNTRY_DESCRIPTION],COUNTRIES[COUNTRY_LABEL],"")</f>
        <v>ZA</v>
      </c>
      <c r="G615" t="str" cm="1">
        <f t="array" ref="G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5" t="s">
        <v>19</v>
      </c>
      <c r="I615">
        <v>0</v>
      </c>
      <c r="J615">
        <v>7</v>
      </c>
      <c r="K615">
        <v>7</v>
      </c>
      <c r="L615" t="str" cm="1">
        <f t="array" ref="L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5">
        <f>_xlfn.XLOOKUP("LOADINGSPEEDDEF_"&amp;PROPERTIES[[#This Row],[LOADINGSPEED]],LOADINGSPEEDDEF[TYPE],LOADINGSPEEDDEF[SPEED])</f>
        <v>20</v>
      </c>
      <c r="N615" t="str" cm="1">
        <f t="array" ref="N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5">
        <f>IF(ISNUMBER(SEARCH("passenger",PROPERTIES[[#This Row],[CARGODEF]])),1,0)</f>
        <v>0</v>
      </c>
      <c r="P615" s="29">
        <v>124</v>
      </c>
      <c r="Q615">
        <v>4000</v>
      </c>
      <c r="R615">
        <v>100</v>
      </c>
      <c r="S615" s="26">
        <v>450</v>
      </c>
      <c r="T615" s="25">
        <f>IFERROR(PROPERTIES[[#This Row],[TE_STARTING_KN]]/(PROPERTIES[[#This Row],[WEIGHT]]*9.81),0)</f>
        <v>0.36993193252441547</v>
      </c>
      <c r="U615" s="25">
        <v>0.25</v>
      </c>
      <c r="V615" s="22">
        <f>ROUND(IF(IFERROR(PROPERTIES[[#This Row],[TE_COEFFICIENT_CALC]],0)=0,PROPERTIES[[#This Row],[TE_COEFFICIENT_MANUAL]],PROPERTIES[[#This Row],[TE_COEFFICIENT_CALC]]),3)</f>
        <v>0.37</v>
      </c>
      <c r="W615" s="10" cm="1">
        <f t="array" ref="W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615" s="32">
        <v>0</v>
      </c>
      <c r="Y615" s="8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8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9" t="b">
        <v>0</v>
      </c>
      <c r="AY615"/>
      <c r="AZ615"/>
      <c r="BA615"/>
    </row>
    <row r="616" spans="1:53">
      <c r="A616" s="2" t="s">
        <v>631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t="s">
        <v>1942</v>
      </c>
      <c r="F616" t="str">
        <f>_xlfn.XLOOKUP(PROPERTIES[[#This Row],[COUNTRY]],COUNTRIES[COUNTRY_DESCRIPTION],COUNTRIES[COUNTRY_LABEL],"")</f>
        <v>ZA</v>
      </c>
      <c r="G616" t="str" cm="1">
        <f t="array" ref="G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6" t="s">
        <v>19</v>
      </c>
      <c r="I616">
        <v>0</v>
      </c>
      <c r="J616">
        <v>8</v>
      </c>
      <c r="K616">
        <v>8</v>
      </c>
      <c r="L616" t="str" cm="1">
        <f t="array" ref="L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6">
        <f>_xlfn.XLOOKUP("LOADINGSPEEDDEF_"&amp;PROPERTIES[[#This Row],[LOADINGSPEED]],LOADINGSPEEDDEF[TYPE],LOADINGSPEEDDEF[SPEED])</f>
        <v>20</v>
      </c>
      <c r="N616" t="str" cm="1">
        <f t="array" ref="N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6">
        <f>IF(ISNUMBER(SEARCH("passenger",PROPERTIES[[#This Row],[CARGODEF]])),1,0)</f>
        <v>0</v>
      </c>
      <c r="P616" s="29">
        <v>172</v>
      </c>
      <c r="Q616">
        <v>5200</v>
      </c>
      <c r="R616">
        <v>90</v>
      </c>
      <c r="S616" s="26">
        <v>580</v>
      </c>
      <c r="T616" s="25">
        <f>IFERROR(PROPERTIES[[#This Row],[TE_STARTING_KN]]/(PROPERTIES[[#This Row],[WEIGHT]]*9.81),0)</f>
        <v>0.34374036934310026</v>
      </c>
      <c r="U616" s="25">
        <v>0.23</v>
      </c>
      <c r="V616" s="22">
        <f>ROUND(IF(IFERROR(PROPERTIES[[#This Row],[TE_COEFFICIENT_CALC]],0)=0,PROPERTIES[[#This Row],[TE_COEFFICIENT_MANUAL]],PROPERTIES[[#This Row],[TE_COEFFICIENT_CALC]]),3)</f>
        <v>0.34399999999999997</v>
      </c>
      <c r="W616" s="10" cm="1">
        <f t="array" ref="W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6" s="32">
        <v>0</v>
      </c>
      <c r="Y616" s="8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8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9" t="b">
        <v>0</v>
      </c>
      <c r="AY616"/>
      <c r="AZ616"/>
      <c r="BA616"/>
    </row>
    <row r="617" spans="1:53">
      <c r="A617" s="2" t="s">
        <v>632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t="s">
        <v>1867</v>
      </c>
      <c r="F617" t="str">
        <f>_xlfn.XLOOKUP(PROPERTIES[[#This Row],[COUNTRY]],COUNTRIES[COUNTRY_DESCRIPTION],COUNTRIES[COUNTRY_LABEL],"")</f>
        <v>NZ</v>
      </c>
      <c r="G617" t="str" cm="1">
        <f t="array" ref="G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7" t="s">
        <v>19</v>
      </c>
      <c r="I617">
        <v>0</v>
      </c>
      <c r="J617">
        <v>8</v>
      </c>
      <c r="K617">
        <v>8</v>
      </c>
      <c r="L617" t="str" cm="1">
        <f t="array" ref="L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7">
        <f>_xlfn.XLOOKUP("LOADINGSPEEDDEF_"&amp;PROPERTIES[[#This Row],[LOADINGSPEED]],LOADINGSPEEDDEF[TYPE],LOADINGSPEEDDEF[SPEED])</f>
        <v>20</v>
      </c>
      <c r="N617" t="str" cm="1">
        <f t="array" ref="N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7">
        <f>IF(ISNUMBER(SEARCH("passenger",PROPERTIES[[#This Row],[CARGODEF]])),1,0)</f>
        <v>0</v>
      </c>
      <c r="P617" s="29">
        <v>107</v>
      </c>
      <c r="Q617">
        <v>4000</v>
      </c>
      <c r="R617">
        <v>105</v>
      </c>
      <c r="S617" s="26">
        <v>360</v>
      </c>
      <c r="T617" s="25">
        <f>IFERROR(PROPERTIES[[#This Row],[TE_STARTING_KN]]/(PROPERTIES[[#This Row],[WEIGHT]]*9.81),0)</f>
        <v>0.3429649318357198</v>
      </c>
      <c r="U617" s="25">
        <v>0.21</v>
      </c>
      <c r="V617" s="22">
        <f>ROUND(IF(IFERROR(PROPERTIES[[#This Row],[TE_COEFFICIENT_CALC]],0)=0,PROPERTIES[[#This Row],[TE_COEFFICIENT_MANUAL]],PROPERTIES[[#This Row],[TE_COEFFICIENT_CALC]]),3)</f>
        <v>0.34300000000000003</v>
      </c>
      <c r="W617" s="10" cm="1">
        <f t="array" ref="W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7" s="32">
        <v>0</v>
      </c>
      <c r="Y617" s="8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8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9" t="b">
        <v>0</v>
      </c>
      <c r="AY617"/>
      <c r="AZ617"/>
      <c r="BA617"/>
    </row>
    <row r="618" spans="1:53">
      <c r="A618" s="2" t="s">
        <v>633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t="s">
        <v>1810</v>
      </c>
      <c r="F618" t="str">
        <f>_xlfn.XLOOKUP(PROPERTIES[[#This Row],[COUNTRY]],COUNTRIES[COUNTRY_DESCRIPTION],COUNTRIES[COUNTRY_LABEL],"")</f>
        <v>JP</v>
      </c>
      <c r="G618" t="str" cm="1">
        <f t="array" ref="G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8" t="s">
        <v>17</v>
      </c>
      <c r="I618">
        <v>48</v>
      </c>
      <c r="J618">
        <v>8</v>
      </c>
      <c r="K618">
        <v>8</v>
      </c>
      <c r="L618" t="str" cm="1">
        <f t="array" ref="L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8">
        <f>_xlfn.XLOOKUP("LOADINGSPEEDDEF_"&amp;PROPERTIES[[#This Row],[LOADINGSPEED]],LOADINGSPEEDDEF[TYPE],LOADINGSPEEDDEF[SPEED])</f>
        <v>40</v>
      </c>
      <c r="N618" cm="1">
        <f t="array" ref="N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8">
        <f>IF(ISNUMBER(SEARCH("passenger",PROPERTIES[[#This Row],[CARGODEF]])),1,0)</f>
        <v>1</v>
      </c>
      <c r="P618" s="29">
        <v>28.4</v>
      </c>
      <c r="Q618">
        <f>536*2</f>
        <v>1072</v>
      </c>
      <c r="R618">
        <v>110</v>
      </c>
      <c r="S618" s="26">
        <v>35</v>
      </c>
      <c r="T618" s="25">
        <f>IFERROR(PROPERTIES[[#This Row],[TE_STARTING_KN]]/(PROPERTIES[[#This Row],[WEIGHT]]*9.81),0)</f>
        <v>0.12562633702315831</v>
      </c>
      <c r="U618" s="25">
        <v>0.27</v>
      </c>
      <c r="V618" s="22">
        <f>ROUND(IF(IFERROR(PROPERTIES[[#This Row],[TE_COEFFICIENT_CALC]],0)=0,PROPERTIES[[#This Row],[TE_COEFFICIENT_MANUAL]],PROPERTIES[[#This Row],[TE_COEFFICIENT_CALC]]),3)</f>
        <v>0.126</v>
      </c>
      <c r="W618" s="10" cm="1">
        <f t="array" ref="W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8" s="32">
        <v>42</v>
      </c>
      <c r="Y618" s="8">
        <v>8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8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9" t="b">
        <v>0</v>
      </c>
      <c r="AY618"/>
      <c r="AZ618"/>
      <c r="BA618"/>
    </row>
    <row r="619" spans="1:53">
      <c r="A619" s="2" t="s">
        <v>634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t="s">
        <v>1810</v>
      </c>
      <c r="F619" t="str">
        <f>_xlfn.XLOOKUP(PROPERTIES[[#This Row],[COUNTRY]],COUNTRIES[COUNTRY_DESCRIPTION],COUNTRIES[COUNTRY_LABEL],"")</f>
        <v>JP</v>
      </c>
      <c r="G619" t="str" cm="1">
        <f t="array" ref="G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9" t="s">
        <v>17</v>
      </c>
      <c r="I619">
        <v>46</v>
      </c>
      <c r="J619">
        <v>8</v>
      </c>
      <c r="K619">
        <v>8</v>
      </c>
      <c r="L619" t="str" cm="1">
        <f t="array" ref="L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9">
        <f>_xlfn.XLOOKUP("LOADINGSPEEDDEF_"&amp;PROPERTIES[[#This Row],[LOADINGSPEED]],LOADINGSPEEDDEF[TYPE],LOADINGSPEEDDEF[SPEED])</f>
        <v>40</v>
      </c>
      <c r="N619" t="str" cm="1">
        <f t="array" ref="N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9">
        <f>IF(ISNUMBER(SEARCH("passenger",PROPERTIES[[#This Row],[CARGODEF]])),1,0)</f>
        <v>1</v>
      </c>
      <c r="P619" s="29">
        <v>32.700000000000003</v>
      </c>
      <c r="Q619">
        <v>1550</v>
      </c>
      <c r="R619">
        <v>110</v>
      </c>
      <c r="S619" s="26">
        <v>42</v>
      </c>
      <c r="T619" s="25">
        <f>IFERROR(PROPERTIES[[#This Row],[TE_STARTING_KN]]/(PROPERTIES[[#This Row],[WEIGHT]]*9.81),0)</f>
        <v>0.13092799895257601</v>
      </c>
      <c r="U619" s="25">
        <v>0.22</v>
      </c>
      <c r="V619" s="22">
        <f>ROUND(IF(IFERROR(PROPERTIES[[#This Row],[TE_COEFFICIENT_CALC]],0)=0,PROPERTIES[[#This Row],[TE_COEFFICIENT_MANUAL]],PROPERTIES[[#This Row],[TE_COEFFICIENT_CALC]]),3)</f>
        <v>0.13100000000000001</v>
      </c>
      <c r="W619" s="10" cm="1">
        <f t="array" ref="W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9" s="32">
        <v>44</v>
      </c>
      <c r="Y619" s="8">
        <v>8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8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9" t="b">
        <v>0</v>
      </c>
      <c r="AY619"/>
      <c r="AZ619"/>
      <c r="BA619"/>
    </row>
    <row r="620" spans="1:53">
      <c r="A620" s="2" t="s">
        <v>635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t="s">
        <v>1710</v>
      </c>
      <c r="F620" t="str">
        <f>_xlfn.XLOOKUP(PROPERTIES[[#This Row],[COUNTRY]],COUNTRIES[COUNTRY_DESCRIPTION],COUNTRIES[COUNTRY_LABEL],"")</f>
        <v>AU</v>
      </c>
      <c r="G620" t="str" cm="1">
        <f t="array" ref="G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0" t="s">
        <v>17</v>
      </c>
      <c r="I620">
        <v>112</v>
      </c>
      <c r="J620">
        <v>8</v>
      </c>
      <c r="K620">
        <v>8</v>
      </c>
      <c r="L620" t="str" cm="1">
        <f t="array" ref="L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0">
        <f>_xlfn.XLOOKUP("LOADINGSPEEDDEF_"&amp;PROPERTIES[[#This Row],[LOADINGSPEED]],LOADINGSPEEDDEF[TYPE],LOADINGSPEEDDEF[SPEED])</f>
        <v>40</v>
      </c>
      <c r="N620" cm="1">
        <f t="array" ref="N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0">
        <f>IF(ISNUMBER(SEARCH("passenger",PROPERTIES[[#This Row],[CARGODEF]])),1,0)</f>
        <v>1</v>
      </c>
      <c r="P620" s="29">
        <v>47</v>
      </c>
      <c r="Q620">
        <v>1600</v>
      </c>
      <c r="R620">
        <v>115</v>
      </c>
      <c r="S620" s="26">
        <v>110</v>
      </c>
      <c r="T620" s="25">
        <f>IFERROR(PROPERTIES[[#This Row],[TE_STARTING_KN]]/(PROPERTIES[[#This Row],[WEIGHT]]*9.81),0)</f>
        <v>0.2385754874530982</v>
      </c>
      <c r="U620" s="25">
        <v>0.31</v>
      </c>
      <c r="V620" s="22">
        <f>ROUND(IF(IFERROR(PROPERTIES[[#This Row],[TE_COEFFICIENT_CALC]],0)=0,PROPERTIES[[#This Row],[TE_COEFFICIENT_MANUAL]],PROPERTIES[[#This Row],[TE_COEFFICIENT_CALC]]),3)</f>
        <v>0.23899999999999999</v>
      </c>
      <c r="W620" s="10" cm="1">
        <f t="array" ref="W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0" s="32">
        <v>130</v>
      </c>
      <c r="Y620" s="8">
        <v>8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8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9" t="b">
        <v>0</v>
      </c>
      <c r="AY620"/>
      <c r="AZ620"/>
      <c r="BA620"/>
    </row>
    <row r="621" spans="1:53">
      <c r="A621" s="2" t="s">
        <v>636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t="s">
        <v>1710</v>
      </c>
      <c r="F621" t="str">
        <f>_xlfn.XLOOKUP(PROPERTIES[[#This Row],[COUNTRY]],COUNTRIES[COUNTRY_DESCRIPTION],COUNTRIES[COUNTRY_LABEL],"")</f>
        <v>AU</v>
      </c>
      <c r="G621" t="str" cm="1">
        <f t="array" ref="G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1" t="s">
        <v>17</v>
      </c>
      <c r="I621">
        <v>120</v>
      </c>
      <c r="J621">
        <v>8</v>
      </c>
      <c r="K621">
        <v>8</v>
      </c>
      <c r="L621" t="str" cm="1">
        <f t="array" ref="L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1">
        <f>_xlfn.XLOOKUP("LOADINGSPEEDDEF_"&amp;PROPERTIES[[#This Row],[LOADINGSPEED]],LOADINGSPEEDDEF[TYPE],LOADINGSPEEDDEF[SPEED])</f>
        <v>40</v>
      </c>
      <c r="N621" t="str" cm="1">
        <f t="array" ref="N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1">
        <f>IF(ISNUMBER(SEARCH("passenger",PROPERTIES[[#This Row],[CARGODEF]])),1,0)</f>
        <v>1</v>
      </c>
      <c r="P621" s="29">
        <v>57</v>
      </c>
      <c r="Q621">
        <f>1072*2</f>
        <v>2144</v>
      </c>
      <c r="R621">
        <v>130</v>
      </c>
      <c r="S621" s="26">
        <v>110</v>
      </c>
      <c r="T621" s="25">
        <f>IFERROR(PROPERTIES[[#This Row],[TE_STARTING_KN]]/(PROPERTIES[[#This Row],[WEIGHT]]*9.81),0)</f>
        <v>0.19672013877711605</v>
      </c>
      <c r="U621" s="25">
        <v>0.41</v>
      </c>
      <c r="V621" s="22">
        <f>ROUND(IF(IFERROR(PROPERTIES[[#This Row],[TE_COEFFICIENT_CALC]],0)=0,PROPERTIES[[#This Row],[TE_COEFFICIENT_MANUAL]],PROPERTIES[[#This Row],[TE_COEFFICIENT_CALC]]),3)</f>
        <v>0.19700000000000001</v>
      </c>
      <c r="W621" s="10" cm="1">
        <f t="array" ref="W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1" s="32">
        <v>120</v>
      </c>
      <c r="Y621" s="8">
        <v>8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8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9" t="b">
        <v>0</v>
      </c>
      <c r="AY621"/>
      <c r="AZ621"/>
      <c r="BA621"/>
    </row>
    <row r="622" spans="1:53">
      <c r="A622" s="2" t="s">
        <v>637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t="s">
        <v>1710</v>
      </c>
      <c r="F622" t="str">
        <f>_xlfn.XLOOKUP(PROPERTIES[[#This Row],[COUNTRY]],COUNTRIES[COUNTRY_DESCRIPTION],COUNTRIES[COUNTRY_LABEL],"")</f>
        <v>AU</v>
      </c>
      <c r="G622" t="str" cm="1">
        <f t="array" ref="G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2" t="s">
        <v>17</v>
      </c>
      <c r="I622">
        <v>48</v>
      </c>
      <c r="J622">
        <v>8</v>
      </c>
      <c r="K622">
        <v>8</v>
      </c>
      <c r="L622" t="str" cm="1">
        <f t="array" ref="L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2">
        <f>_xlfn.XLOOKUP("LOADINGSPEEDDEF_"&amp;PROPERTIES[[#This Row],[LOADINGSPEED]],LOADINGSPEEDDEF[TYPE],LOADINGSPEEDDEF[SPEED])</f>
        <v>40</v>
      </c>
      <c r="N622" cm="1">
        <f t="array" ref="N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2">
        <f>IF(ISNUMBER(SEARCH("passenger",PROPERTIES[[#This Row],[CARGODEF]])),1,0)</f>
        <v>1</v>
      </c>
      <c r="P622" s="29">
        <v>47</v>
      </c>
      <c r="Q622">
        <v>563</v>
      </c>
      <c r="R622">
        <v>83</v>
      </c>
      <c r="S622" s="26">
        <f>110/2</f>
        <v>55</v>
      </c>
      <c r="T622" s="25">
        <f>IFERROR(PROPERTIES[[#This Row],[TE_STARTING_KN]]/(PROPERTIES[[#This Row],[WEIGHT]]*9.81),0)</f>
        <v>0.1192877437265491</v>
      </c>
      <c r="U622" s="25">
        <v>0.16</v>
      </c>
      <c r="V622" s="22">
        <f>ROUND(IF(IFERROR(PROPERTIES[[#This Row],[TE_COEFFICIENT_CALC]],0)=0,PROPERTIES[[#This Row],[TE_COEFFICIENT_MANUAL]],PROPERTIES[[#This Row],[TE_COEFFICIENT_CALC]]),3)</f>
        <v>0.11899999999999999</v>
      </c>
      <c r="W622" s="10" cm="1">
        <f t="array" ref="W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22" s="32">
        <v>75</v>
      </c>
      <c r="Y622" s="8">
        <v>8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8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9" t="b">
        <v>0</v>
      </c>
      <c r="AY622"/>
      <c r="AZ622"/>
      <c r="BA622"/>
    </row>
    <row r="623" spans="1:53">
      <c r="A623" s="2" t="s">
        <v>638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t="s">
        <v>1867</v>
      </c>
      <c r="F623" t="str">
        <f>_xlfn.XLOOKUP(PROPERTIES[[#This Row],[COUNTRY]],COUNTRIES[COUNTRY_DESCRIPTION],COUNTRIES[COUNTRY_LABEL],"")</f>
        <v>NZ</v>
      </c>
      <c r="G623" t="str" cm="1">
        <f t="array" ref="G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3" t="s">
        <v>17</v>
      </c>
      <c r="I623">
        <v>74</v>
      </c>
      <c r="J623">
        <v>8</v>
      </c>
      <c r="K623">
        <v>8</v>
      </c>
      <c r="L623" t="str" cm="1">
        <f t="array" ref="L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3">
        <f>_xlfn.XLOOKUP("LOADINGSPEEDDEF_"&amp;PROPERTIES[[#This Row],[LOADINGSPEED]],LOADINGSPEEDDEF[TYPE],LOADINGSPEEDDEF[SPEED])</f>
        <v>40</v>
      </c>
      <c r="N623" cm="1">
        <f t="array" ref="N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3">
        <f>IF(ISNUMBER(SEARCH("passenger",PROPERTIES[[#This Row],[CARGODEF]])),1,0)</f>
        <v>1</v>
      </c>
      <c r="P623" s="29">
        <v>37.6</v>
      </c>
      <c r="Q623">
        <v>540</v>
      </c>
      <c r="R623">
        <v>95</v>
      </c>
      <c r="S623" s="26">
        <v>50</v>
      </c>
      <c r="T623" s="25">
        <f>IFERROR(PROPERTIES[[#This Row],[TE_STARTING_KN]]/(PROPERTIES[[#This Row],[WEIGHT]]*9.81),0)</f>
        <v>0.13555425423471487</v>
      </c>
      <c r="U623" s="25">
        <v>0.26</v>
      </c>
      <c r="V623" s="22">
        <f>ROUND(IF(IFERROR(PROPERTIES[[#This Row],[TE_COEFFICIENT_CALC]],0)=0,PROPERTIES[[#This Row],[TE_COEFFICIENT_MANUAL]],PROPERTIES[[#This Row],[TE_COEFFICIENT_CALC]]),3)</f>
        <v>0.13600000000000001</v>
      </c>
      <c r="W623" s="10" cm="1">
        <f t="array" ref="W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3" s="32">
        <v>74</v>
      </c>
      <c r="Y623" s="8">
        <v>8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8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9" t="b">
        <v>0</v>
      </c>
      <c r="AY623"/>
      <c r="AZ623"/>
      <c r="BA623"/>
    </row>
    <row r="624" spans="1:53">
      <c r="A624" s="2" t="s">
        <v>639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t="s">
        <v>1942</v>
      </c>
      <c r="F624" t="str">
        <f>_xlfn.XLOOKUP(PROPERTIES[[#This Row],[COUNTRY]],COUNTRIES[COUNTRY_DESCRIPTION],COUNTRIES[COUNTRY_LABEL],"")</f>
        <v>ZA</v>
      </c>
      <c r="G624" t="str" cm="1">
        <f t="array" ref="G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4" t="s">
        <v>17</v>
      </c>
      <c r="I624">
        <f>INT(176/2)</f>
        <v>88</v>
      </c>
      <c r="J624">
        <v>7</v>
      </c>
      <c r="K624">
        <v>7</v>
      </c>
      <c r="L624" t="str" cm="1">
        <f t="array" ref="L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4">
        <f>_xlfn.XLOOKUP("LOADINGSPEEDDEF_"&amp;PROPERTIES[[#This Row],[LOADINGSPEED]],LOADINGSPEEDDEF[TYPE],LOADINGSPEEDDEF[SPEED])</f>
        <v>40</v>
      </c>
      <c r="N624" cm="1">
        <f t="array" ref="N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4">
        <f>IF(ISNUMBER(SEARCH("passenger",PROPERTIES[[#This Row],[CARGODEF]])),1,0)</f>
        <v>1</v>
      </c>
      <c r="P624" s="29">
        <v>60</v>
      </c>
      <c r="Q624">
        <v>2480</v>
      </c>
      <c r="R624">
        <v>100</v>
      </c>
      <c r="S624" s="26">
        <v>160</v>
      </c>
      <c r="T624" s="25">
        <f>IFERROR(PROPERTIES[[#This Row],[TE_STARTING_KN]]/(PROPERTIES[[#This Row],[WEIGHT]]*9.81),0)</f>
        <v>0.27183146449201495</v>
      </c>
      <c r="U624" s="25">
        <v>0.27</v>
      </c>
      <c r="V624" s="22">
        <f>ROUND(IF(IFERROR(PROPERTIES[[#This Row],[TE_COEFFICIENT_CALC]],0)=0,PROPERTIES[[#This Row],[TE_COEFFICIENT_MANUAL]],PROPERTIES[[#This Row],[TE_COEFFICIENT_CALC]]),3)</f>
        <v>0.27200000000000002</v>
      </c>
      <c r="W624" s="10" cm="1">
        <f t="array" ref="W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24" s="32">
        <f>149+52</f>
        <v>201</v>
      </c>
      <c r="Y624" s="8">
        <v>7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8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9" t="b">
        <v>0</v>
      </c>
      <c r="AY624"/>
      <c r="AZ624"/>
      <c r="BA624"/>
    </row>
    <row r="625" spans="1:53">
      <c r="A625" s="2" t="s">
        <v>640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t="s">
        <v>1743</v>
      </c>
      <c r="F625" t="str">
        <f>_xlfn.XLOOKUP(PROPERTIES[[#This Row],[COUNTRY]],COUNTRIES[COUNTRY_DESCRIPTION],COUNTRIES[COUNTRY_LABEL],"")</f>
        <v>CL</v>
      </c>
      <c r="G625" t="str" cm="1">
        <f t="array" ref="G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5" t="s">
        <v>17</v>
      </c>
      <c r="I625">
        <v>72</v>
      </c>
      <c r="J625">
        <v>8</v>
      </c>
      <c r="K625">
        <v>8</v>
      </c>
      <c r="L625" t="str" cm="1">
        <f t="array" ref="L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5">
        <f>_xlfn.XLOOKUP("LOADINGSPEEDDEF_"&amp;PROPERTIES[[#This Row],[LOADINGSPEED]],LOADINGSPEEDDEF[TYPE],LOADINGSPEEDDEF[SPEED])</f>
        <v>40</v>
      </c>
      <c r="N625" t="str" cm="1">
        <f t="array" ref="N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5">
        <f>IF(ISNUMBER(SEARCH("passenger",PROPERTIES[[#This Row],[CARGODEF]])),1,0)</f>
        <v>1</v>
      </c>
      <c r="P625" s="29">
        <v>43</v>
      </c>
      <c r="Q625">
        <v>1930</v>
      </c>
      <c r="R625">
        <v>130</v>
      </c>
      <c r="S625" s="26">
        <v>95</v>
      </c>
      <c r="T625" s="25">
        <f>IFERROR(PROPERTIES[[#This Row],[TE_STARTING_KN]]/(PROPERTIES[[#This Row],[WEIGHT]]*9.81),0)</f>
        <v>0.2252092075006519</v>
      </c>
      <c r="U625" s="25">
        <v>0.28999999999999998</v>
      </c>
      <c r="V625" s="22">
        <f>ROUND(IF(IFERROR(PROPERTIES[[#This Row],[TE_COEFFICIENT_CALC]],0)=0,PROPERTIES[[#This Row],[TE_COEFFICIENT_MANUAL]],PROPERTIES[[#This Row],[TE_COEFFICIENT_CALC]]),3)</f>
        <v>0.22500000000000001</v>
      </c>
      <c r="W625" s="10" cm="1">
        <f t="array" ref="W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5" s="32">
        <v>96</v>
      </c>
      <c r="Y625" s="8">
        <v>8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8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9" t="b">
        <v>0</v>
      </c>
      <c r="AY625"/>
      <c r="AZ625"/>
      <c r="BA625"/>
    </row>
    <row r="626" spans="1:53">
      <c r="A626" s="2" t="s">
        <v>641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t="s">
        <v>1743</v>
      </c>
      <c r="F626" t="str">
        <f>_xlfn.XLOOKUP(PROPERTIES[[#This Row],[COUNTRY]],COUNTRIES[COUNTRY_DESCRIPTION],COUNTRIES[COUNTRY_LABEL],"")</f>
        <v>CL</v>
      </c>
      <c r="G626" t="str" cm="1">
        <f t="array" ref="G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6" t="s">
        <v>17</v>
      </c>
      <c r="I626">
        <v>88</v>
      </c>
      <c r="J626">
        <v>7</v>
      </c>
      <c r="K626">
        <v>7</v>
      </c>
      <c r="L626" t="str" cm="1">
        <f t="array" ref="L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6">
        <f>_xlfn.XLOOKUP("LOADINGSPEEDDEF_"&amp;PROPERTIES[[#This Row],[LOADINGSPEED]],LOADINGSPEEDDEF[TYPE],LOADINGSPEEDDEF[SPEED])</f>
        <v>40</v>
      </c>
      <c r="N626" cm="1">
        <f t="array" ref="N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6">
        <f>IF(ISNUMBER(SEARCH("passenger",PROPERTIES[[#This Row],[CARGODEF]])),1,0)</f>
        <v>1</v>
      </c>
      <c r="P626" s="29">
        <v>52</v>
      </c>
      <c r="Q626">
        <f>805*2</f>
        <v>1610</v>
      </c>
      <c r="R626">
        <v>130</v>
      </c>
      <c r="S626" s="26">
        <v>85</v>
      </c>
      <c r="T626" s="25">
        <f>IFERROR(PROPERTIES[[#This Row],[TE_STARTING_KN]]/(PROPERTIES[[#This Row],[WEIGHT]]*9.81),0)</f>
        <v>0.16662746020544186</v>
      </c>
      <c r="U626" s="25">
        <v>0.21</v>
      </c>
      <c r="V626" s="22">
        <f>ROUND(IF(IFERROR(PROPERTIES[[#This Row],[TE_COEFFICIENT_CALC]],0)=0,PROPERTIES[[#This Row],[TE_COEFFICIENT_MANUAL]],PROPERTIES[[#This Row],[TE_COEFFICIENT_CALC]]),3)</f>
        <v>0.16700000000000001</v>
      </c>
      <c r="W626" s="10" cm="1">
        <f t="array" ref="W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6" s="32">
        <v>92</v>
      </c>
      <c r="Y626" s="8">
        <v>7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8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9" t="b">
        <v>1</v>
      </c>
      <c r="AY626"/>
      <c r="AZ626"/>
      <c r="BA626"/>
    </row>
    <row r="627" spans="1:53">
      <c r="A627" s="2" t="s">
        <v>642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t="s">
        <v>1919</v>
      </c>
      <c r="F627" t="str">
        <f>_xlfn.XLOOKUP(PROPERTIES[[#This Row],[COUNTRY]],COUNTRIES[COUNTRY_DESCRIPTION],COUNTRIES[COUNTRY_LABEL],"")</f>
        <v>TN</v>
      </c>
      <c r="G627" t="str" cm="1">
        <f t="array" ref="G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7" t="s">
        <v>17</v>
      </c>
      <c r="I627">
        <v>150</v>
      </c>
      <c r="J627">
        <v>8</v>
      </c>
      <c r="K627">
        <v>8</v>
      </c>
      <c r="L627" t="str" cm="1">
        <f t="array" ref="L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7">
        <f>_xlfn.XLOOKUP("LOADINGSPEEDDEF_"&amp;PROPERTIES[[#This Row],[LOADINGSPEED]],LOADINGSPEEDDEF[TYPE],LOADINGSPEEDDEF[SPEED])</f>
        <v>40</v>
      </c>
      <c r="N627" cm="1">
        <f t="array" ref="N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7">
        <f>IF(ISNUMBER(SEARCH("passenger",PROPERTIES[[#This Row],[CARGODEF]])),1,0)</f>
        <v>1</v>
      </c>
      <c r="P627" s="29">
        <v>50</v>
      </c>
      <c r="Q627">
        <v>2010</v>
      </c>
      <c r="R627">
        <v>120</v>
      </c>
      <c r="S627" s="26">
        <v>125</v>
      </c>
      <c r="T627" s="25">
        <f>IFERROR(PROPERTIES[[#This Row],[TE_STARTING_KN]]/(PROPERTIES[[#This Row],[WEIGHT]]*9.81),0)</f>
        <v>0.254841997961264</v>
      </c>
      <c r="U627" s="25">
        <v>0.2</v>
      </c>
      <c r="V627" s="22">
        <f>ROUND(IF(IFERROR(PROPERTIES[[#This Row],[TE_COEFFICIENT_CALC]],0)=0,PROPERTIES[[#This Row],[TE_COEFFICIENT_MANUAL]],PROPERTIES[[#This Row],[TE_COEFFICIENT_CALC]]),3)</f>
        <v>0.255</v>
      </c>
      <c r="W627" s="10" cm="1">
        <f t="array" ref="W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7" s="32">
        <v>150</v>
      </c>
      <c r="Y627" s="8">
        <v>8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8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9" t="b">
        <v>0</v>
      </c>
      <c r="AY627"/>
      <c r="AZ627"/>
      <c r="BA627"/>
    </row>
    <row r="628" spans="1:53">
      <c r="A628" s="2" t="s">
        <v>643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t="s">
        <v>1710</v>
      </c>
      <c r="F628" t="str">
        <f>_xlfn.XLOOKUP(PROPERTIES[[#This Row],[COUNTRY]],COUNTRIES[COUNTRY_DESCRIPTION],COUNTRIES[COUNTRY_LABEL],"")</f>
        <v>AU</v>
      </c>
      <c r="G628" t="str" cm="1">
        <f t="array" ref="G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8" t="s">
        <v>17</v>
      </c>
      <c r="I628">
        <v>47</v>
      </c>
      <c r="J628">
        <v>8</v>
      </c>
      <c r="K628">
        <v>8</v>
      </c>
      <c r="L628" t="str" cm="1">
        <f t="array" ref="L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8">
        <f>_xlfn.XLOOKUP("LOADINGSPEEDDEF_"&amp;PROPERTIES[[#This Row],[LOADINGSPEED]],LOADINGSPEEDDEF[TYPE],LOADINGSPEEDDEF[SPEED])</f>
        <v>40</v>
      </c>
      <c r="N628" t="str" cm="1">
        <f t="array" ref="N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8">
        <f>IF(ISNUMBER(SEARCH("passenger",PROPERTIES[[#This Row],[CARGODEF]])),1,0)</f>
        <v>1</v>
      </c>
      <c r="P628" s="29">
        <v>45</v>
      </c>
      <c r="Q628">
        <f>910*2</f>
        <v>1820</v>
      </c>
      <c r="R628">
        <v>160</v>
      </c>
      <c r="S628" s="26">
        <v>105</v>
      </c>
      <c r="T628" s="25">
        <f>IFERROR(PROPERTIES[[#This Row],[TE_STARTING_KN]]/(PROPERTIES[[#This Row],[WEIGHT]]*9.81),0)</f>
        <v>0.23785253143051305</v>
      </c>
      <c r="U628" s="25">
        <v>0.33</v>
      </c>
      <c r="V628" s="22">
        <f>ROUND(IF(IFERROR(PROPERTIES[[#This Row],[TE_COEFFICIENT_CALC]],0)=0,PROPERTIES[[#This Row],[TE_COEFFICIENT_MANUAL]],PROPERTIES[[#This Row],[TE_COEFFICIENT_CALC]]),3)</f>
        <v>0.23799999999999999</v>
      </c>
      <c r="W628" s="10" cm="1">
        <f t="array" ref="W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8" s="32">
        <v>56</v>
      </c>
      <c r="Y628" s="8">
        <v>8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8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9" t="b">
        <v>0</v>
      </c>
      <c r="AY628"/>
      <c r="AZ628"/>
      <c r="BA628"/>
    </row>
    <row r="629" spans="1:53">
      <c r="A629" s="2" t="s">
        <v>644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t="s">
        <v>1887</v>
      </c>
      <c r="F629" t="str">
        <f>_xlfn.XLOOKUP(PROPERTIES[[#This Row],[COUNTRY]],COUNTRIES[COUNTRY_DESCRIPTION],COUNTRIES[COUNTRY_LABEL],"")</f>
        <v>RU</v>
      </c>
      <c r="G629" t="str" cm="1">
        <f t="array" ref="G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9" t="s">
        <v>19</v>
      </c>
      <c r="I629">
        <v>0</v>
      </c>
      <c r="J629">
        <v>8</v>
      </c>
      <c r="K629">
        <v>16</v>
      </c>
      <c r="L629" t="str" cm="1">
        <f t="array" ref="L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29">
        <f>_xlfn.XLOOKUP("LOADINGSPEEDDEF_"&amp;PROPERTIES[[#This Row],[LOADINGSPEED]],LOADINGSPEEDDEF[TYPE],LOADINGSPEEDDEF[SPEED])</f>
        <v>20</v>
      </c>
      <c r="N629" t="str" cm="1">
        <f t="array" ref="N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9">
        <f>IF(ISNUMBER(SEARCH("passenger",PROPERTIES[[#This Row],[CARGODEF]])),1,0)</f>
        <v>0</v>
      </c>
      <c r="P629" s="29">
        <v>300</v>
      </c>
      <c r="Q629">
        <v>12070</v>
      </c>
      <c r="R629">
        <v>100</v>
      </c>
      <c r="S629" s="26">
        <f>2*530</f>
        <v>1060</v>
      </c>
      <c r="T629" s="25">
        <f>IFERROR(PROPERTIES[[#This Row],[TE_STARTING_KN]]/(PROPERTIES[[#This Row],[WEIGHT]]*9.81),0)</f>
        <v>0.3601766904519198</v>
      </c>
      <c r="U629" s="25">
        <v>0.23</v>
      </c>
      <c r="V629" s="22">
        <f>ROUND(IF(IFERROR(PROPERTIES[[#This Row],[TE_COEFFICIENT_CALC]],0)=0,PROPERTIES[[#This Row],[TE_COEFFICIENT_MANUAL]],PROPERTIES[[#This Row],[TE_COEFFICIENT_CALC]]),3)</f>
        <v>0.36</v>
      </c>
      <c r="W629" s="10" cm="1">
        <f t="array" ref="W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29" s="32">
        <v>0</v>
      </c>
      <c r="Y629" s="8">
        <v>8</v>
      </c>
      <c r="Z629" t="s">
        <v>3514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8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9" t="b">
        <v>0</v>
      </c>
      <c r="AY629"/>
      <c r="AZ629"/>
      <c r="BA629"/>
    </row>
    <row r="630" spans="1:53">
      <c r="A630" s="2" t="s">
        <v>645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t="s">
        <v>1887</v>
      </c>
      <c r="F630" t="str">
        <f>_xlfn.XLOOKUP(PROPERTIES[[#This Row],[COUNTRY]],COUNTRIES[COUNTRY_DESCRIPTION],COUNTRIES[COUNTRY_LABEL],"")</f>
        <v>RU</v>
      </c>
      <c r="G630" t="str" cm="1">
        <f t="array" ref="G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0" t="s">
        <v>19</v>
      </c>
      <c r="I630">
        <v>0</v>
      </c>
      <c r="J630">
        <v>8</v>
      </c>
      <c r="K630">
        <v>16</v>
      </c>
      <c r="L630" t="str" cm="1">
        <f t="array" ref="L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0">
        <f>_xlfn.XLOOKUP("LOADINGSPEEDDEF_"&amp;PROPERTIES[[#This Row],[LOADINGSPEED]],LOADINGSPEEDDEF[TYPE],LOADINGSPEEDDEF[SPEED])</f>
        <v>20</v>
      </c>
      <c r="N630" cm="1">
        <f t="array" ref="N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0">
        <f>IF(ISNUMBER(SEARCH("passenger",PROPERTIES[[#This Row],[CARGODEF]])),1,0)</f>
        <v>0</v>
      </c>
      <c r="P630" s="29">
        <v>184</v>
      </c>
      <c r="Q630">
        <v>7190</v>
      </c>
      <c r="R630">
        <v>100</v>
      </c>
      <c r="S630" s="26">
        <f>245*2</f>
        <v>490</v>
      </c>
      <c r="T630" s="25">
        <f>IFERROR(PROPERTIES[[#This Row],[TE_STARTING_KN]]/(PROPERTIES[[#This Row],[WEIGHT]]*9.81),0)</f>
        <v>0.27146212826308558</v>
      </c>
      <c r="U630" s="25">
        <v>0.33</v>
      </c>
      <c r="V630" s="22">
        <f>ROUND(IF(IFERROR(PROPERTIES[[#This Row],[TE_COEFFICIENT_CALC]],0)=0,PROPERTIES[[#This Row],[TE_COEFFICIENT_MANUAL]],PROPERTIES[[#This Row],[TE_COEFFICIENT_CALC]]),3)</f>
        <v>0.27100000000000002</v>
      </c>
      <c r="W630" s="10" cm="1">
        <f t="array" ref="W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0" s="32">
        <v>0</v>
      </c>
      <c r="Y630" s="8">
        <v>8</v>
      </c>
      <c r="Z630" t="s">
        <v>3514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8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9" t="b">
        <v>0</v>
      </c>
      <c r="AY630"/>
      <c r="AZ630"/>
      <c r="BA630"/>
    </row>
    <row r="631" spans="1:53">
      <c r="A631" s="2" t="s">
        <v>646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t="s">
        <v>1887</v>
      </c>
      <c r="F631" t="str">
        <f>_xlfn.XLOOKUP(PROPERTIES[[#This Row],[COUNTRY]],COUNTRIES[COUNTRY_DESCRIPTION],COUNTRIES[COUNTRY_LABEL],"")</f>
        <v>RU</v>
      </c>
      <c r="G631" t="str" cm="1">
        <f t="array" ref="G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1" t="s">
        <v>19</v>
      </c>
      <c r="I631">
        <v>0</v>
      </c>
      <c r="J631">
        <v>8</v>
      </c>
      <c r="K631">
        <v>8</v>
      </c>
      <c r="L631" t="str" cm="1">
        <f t="array" ref="L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1">
        <f>_xlfn.XLOOKUP("LOADINGSPEEDDEF_"&amp;PROPERTIES[[#This Row],[LOADINGSPEED]],LOADINGSPEEDDEF[TYPE],LOADINGSPEEDDEF[SPEED])</f>
        <v>20</v>
      </c>
      <c r="N631" cm="1">
        <f t="array" ref="N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1">
        <f>IF(ISNUMBER(SEARCH("passenger",PROPERTIES[[#This Row],[CARGODEF]])),1,0)</f>
        <v>0</v>
      </c>
      <c r="P631" s="29">
        <v>132</v>
      </c>
      <c r="Q631">
        <v>3220</v>
      </c>
      <c r="R631">
        <v>80</v>
      </c>
      <c r="S631" s="26">
        <v>0</v>
      </c>
      <c r="T631" s="25">
        <f>IFERROR(PROPERTIES[[#This Row],[TE_STARTING_KN]]/(PROPERTIES[[#This Row],[WEIGHT]]*9.81),0)</f>
        <v>0</v>
      </c>
      <c r="U631" s="25">
        <v>0.39</v>
      </c>
      <c r="V631" s="22">
        <f>ROUND(IF(IFERROR(PROPERTIES[[#This Row],[TE_COEFFICIENT_CALC]],0)=0,PROPERTIES[[#This Row],[TE_COEFFICIENT_MANUAL]],PROPERTIES[[#This Row],[TE_COEFFICIENT_CALC]]),3)</f>
        <v>0.39</v>
      </c>
      <c r="W631" s="10" cm="1">
        <f t="array" ref="W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31" s="32">
        <v>0</v>
      </c>
      <c r="Y631" s="8">
        <v>0</v>
      </c>
      <c r="Z631" t="s">
        <v>3514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8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9" t="b">
        <v>0</v>
      </c>
      <c r="AY631"/>
      <c r="AZ631"/>
      <c r="BA631"/>
    </row>
    <row r="632" spans="1:53">
      <c r="A632" s="2" t="s">
        <v>647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t="s">
        <v>1925</v>
      </c>
      <c r="F632" t="str">
        <f>_xlfn.XLOOKUP(PROPERTIES[[#This Row],[COUNTRY]],COUNTRIES[COUNTRY_DESCRIPTION],COUNTRIES[COUNTRY_LABEL],"")</f>
        <v>UA</v>
      </c>
      <c r="G632" t="str" cm="1">
        <f t="array" ref="G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2" t="s">
        <v>19</v>
      </c>
      <c r="I632">
        <v>0</v>
      </c>
      <c r="J632">
        <v>8</v>
      </c>
      <c r="K632">
        <v>16</v>
      </c>
      <c r="L632" t="str" cm="1">
        <f t="array" ref="L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2">
        <f>_xlfn.XLOOKUP("LOADINGSPEEDDEF_"&amp;PROPERTIES[[#This Row],[LOADINGSPEED]],LOADINGSPEEDDEF[TYPE],LOADINGSPEEDDEF[SPEED])</f>
        <v>20</v>
      </c>
      <c r="N632" t="str" cm="1">
        <f t="array" ref="N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2">
        <f>IF(ISNUMBER(SEARCH("passenger",PROPERTIES[[#This Row],[CARGODEF]])),1,0)</f>
        <v>0</v>
      </c>
      <c r="P632" s="29">
        <v>184</v>
      </c>
      <c r="Q632">
        <v>8750</v>
      </c>
      <c r="R632">
        <v>100</v>
      </c>
      <c r="S632" s="26">
        <v>706</v>
      </c>
      <c r="T632" s="25">
        <f>IFERROR(PROPERTIES[[#This Row],[TE_STARTING_KN]]/(PROPERTIES[[#This Row],[WEIGHT]]*9.81),0)</f>
        <v>0.39112706643620082</v>
      </c>
      <c r="U632" s="25">
        <v>0.23</v>
      </c>
      <c r="V632" s="22">
        <f>ROUND(IF(IFERROR(PROPERTIES[[#This Row],[TE_COEFFICIENT_CALC]],0)=0,PROPERTIES[[#This Row],[TE_COEFFICIENT_MANUAL]],PROPERTIES[[#This Row],[TE_COEFFICIENT_CALC]]),3)</f>
        <v>0.39100000000000001</v>
      </c>
      <c r="W632" s="10" cm="1">
        <f t="array" ref="W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2" s="32">
        <v>0</v>
      </c>
      <c r="Y632" s="8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8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9" t="b">
        <v>0</v>
      </c>
      <c r="AY632"/>
      <c r="AZ632"/>
      <c r="BA632"/>
    </row>
    <row r="633" spans="1:53">
      <c r="A633" s="2" t="s">
        <v>648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t="s">
        <v>1887</v>
      </c>
      <c r="F633" t="str">
        <f>_xlfn.XLOOKUP(PROPERTIES[[#This Row],[COUNTRY]],COUNTRIES[COUNTRY_DESCRIPTION],COUNTRIES[COUNTRY_LABEL],"")</f>
        <v>RU</v>
      </c>
      <c r="G633" t="str" cm="1">
        <f t="array" ref="G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3" t="s">
        <v>19</v>
      </c>
      <c r="I633">
        <v>0</v>
      </c>
      <c r="J633">
        <v>7</v>
      </c>
      <c r="K633">
        <v>7</v>
      </c>
      <c r="L633" t="str" cm="1">
        <f t="array" ref="L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3">
        <f>_xlfn.XLOOKUP("LOADINGSPEEDDEF_"&amp;PROPERTIES[[#This Row],[LOADINGSPEED]],LOADINGSPEEDDEF[TYPE],LOADINGSPEEDDEF[SPEED])</f>
        <v>20</v>
      </c>
      <c r="N633" cm="1">
        <f t="array" ref="N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3">
        <f>IF(ISNUMBER(SEARCH("passenger",PROPERTIES[[#This Row],[CARGODEF]])),1,0)</f>
        <v>0</v>
      </c>
      <c r="P633" s="29">
        <v>85</v>
      </c>
      <c r="Q633">
        <v>3755</v>
      </c>
      <c r="R633">
        <v>120</v>
      </c>
      <c r="S633" s="26">
        <v>260</v>
      </c>
      <c r="T633" s="25">
        <f>IFERROR(PROPERTIES[[#This Row],[TE_STARTING_KN]]/(PROPERTIES[[#This Row],[WEIGHT]]*9.81),0)</f>
        <v>0.31180667985848776</v>
      </c>
      <c r="U633" s="25">
        <v>0.27</v>
      </c>
      <c r="V633" s="22">
        <f>ROUND(IF(IFERROR(PROPERTIES[[#This Row],[TE_COEFFICIENT_CALC]],0)=0,PROPERTIES[[#This Row],[TE_COEFFICIENT_MANUAL]],PROPERTIES[[#This Row],[TE_COEFFICIENT_CALC]]),3)</f>
        <v>0.312</v>
      </c>
      <c r="W633" s="10" cm="1">
        <f t="array" ref="W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633" s="32">
        <v>0</v>
      </c>
      <c r="Y633" s="8">
        <v>0</v>
      </c>
      <c r="Z633" t="s">
        <v>3514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8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9" t="b">
        <v>0</v>
      </c>
      <c r="AY633"/>
      <c r="AZ633"/>
      <c r="BA633"/>
    </row>
    <row r="634" spans="1:53">
      <c r="A634" s="2" t="s">
        <v>649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t="s">
        <v>1925</v>
      </c>
      <c r="F634" t="str">
        <f>_xlfn.XLOOKUP(PROPERTIES[[#This Row],[COUNTRY]],COUNTRIES[COUNTRY_DESCRIPTION],COUNTRIES[COUNTRY_LABEL],"")</f>
        <v>UA</v>
      </c>
      <c r="G634" t="str" cm="1">
        <f t="array" ref="G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4" t="s">
        <v>19</v>
      </c>
      <c r="I634">
        <v>0</v>
      </c>
      <c r="J634">
        <v>7</v>
      </c>
      <c r="K634">
        <v>14</v>
      </c>
      <c r="L634" t="str" cm="1">
        <f t="array" ref="L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4">
        <f>_xlfn.XLOOKUP("LOADINGSPEEDDEF_"&amp;PROPERTIES[[#This Row],[LOADINGSPEED]],LOADINGSPEEDDEF[TYPE],LOADINGSPEEDDEF[SPEED])</f>
        <v>20</v>
      </c>
      <c r="N634" t="str" cm="1">
        <f t="array" ref="N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4">
        <f>IF(ISNUMBER(SEARCH("passenger",PROPERTIES[[#This Row],[CARGODEF]])),1,0)</f>
        <v>0</v>
      </c>
      <c r="P634" s="29">
        <v>172</v>
      </c>
      <c r="Q634">
        <v>8624</v>
      </c>
      <c r="R634">
        <v>160</v>
      </c>
      <c r="S634" s="26">
        <v>320</v>
      </c>
      <c r="T634" s="25">
        <f>IFERROR(PROPERTIES[[#This Row],[TE_STARTING_KN]]/(PROPERTIES[[#This Row],[WEIGHT]]*9.81),0)</f>
        <v>0.18964985894791739</v>
      </c>
      <c r="U634" s="25">
        <v>0.22</v>
      </c>
      <c r="V634" s="22">
        <f>ROUND(IF(IFERROR(PROPERTIES[[#This Row],[TE_COEFFICIENT_CALC]],0)=0,PROPERTIES[[#This Row],[TE_COEFFICIENT_MANUAL]],PROPERTIES[[#This Row],[TE_COEFFICIENT_CALC]]),3)</f>
        <v>0.19</v>
      </c>
      <c r="W634" s="10" cm="1">
        <f t="array" ref="W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4" s="32">
        <v>0</v>
      </c>
      <c r="Y634" s="8">
        <v>0</v>
      </c>
      <c r="Z634" t="s">
        <v>3514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8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9" t="b">
        <v>0</v>
      </c>
      <c r="AY634"/>
      <c r="AZ634"/>
      <c r="BA634"/>
    </row>
    <row r="635" spans="1:53">
      <c r="A635" s="2" t="s">
        <v>650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t="s">
        <v>1728</v>
      </c>
      <c r="F635" t="str">
        <f>_xlfn.XLOOKUP(PROPERTIES[[#This Row],[COUNTRY]],COUNTRIES[COUNTRY_DESCRIPTION],COUNTRIES[COUNTRY_LABEL],"")</f>
        <v>BR</v>
      </c>
      <c r="G635" t="str" cm="1">
        <f t="array" ref="G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5" t="s">
        <v>19</v>
      </c>
      <c r="I635">
        <v>0</v>
      </c>
      <c r="J635">
        <v>7</v>
      </c>
      <c r="K635">
        <v>7</v>
      </c>
      <c r="L635" t="str" cm="1">
        <f t="array" ref="L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5">
        <f>_xlfn.XLOOKUP("LOADINGSPEEDDEF_"&amp;PROPERTIES[[#This Row],[LOADINGSPEED]],LOADINGSPEEDDEF[TYPE],LOADINGSPEEDDEF[SPEED])</f>
        <v>20</v>
      </c>
      <c r="N635" cm="1">
        <f t="array" ref="N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5">
        <f>IF(ISNUMBER(SEARCH("passenger",PROPERTIES[[#This Row],[CARGODEF]])),1,0)</f>
        <v>0</v>
      </c>
      <c r="P635" s="29">
        <v>123</v>
      </c>
      <c r="Q635">
        <v>4400</v>
      </c>
      <c r="R635">
        <v>117</v>
      </c>
      <c r="S635" s="26">
        <v>385</v>
      </c>
      <c r="T635" s="25">
        <f>IFERROR(PROPERTIES[[#This Row],[TE_STARTING_KN]]/(PROPERTIES[[#This Row],[WEIGHT]]*9.81),0)</f>
        <v>0.31907046899215169</v>
      </c>
      <c r="U635" s="25">
        <v>0.21</v>
      </c>
      <c r="V635" s="22">
        <f>ROUND(IF(IFERROR(PROPERTIES[[#This Row],[TE_COEFFICIENT_CALC]],0)=0,PROPERTIES[[#This Row],[TE_COEFFICIENT_MANUAL]],PROPERTIES[[#This Row],[TE_COEFFICIENT_CALC]]),3)</f>
        <v>0.31900000000000001</v>
      </c>
      <c r="W635" s="10" cm="1">
        <f t="array" ref="W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5" s="32">
        <v>0</v>
      </c>
      <c r="Y635" s="8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8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9" t="b">
        <v>0</v>
      </c>
      <c r="AY635"/>
      <c r="AZ635"/>
      <c r="BA635"/>
    </row>
    <row r="636" spans="1:53">
      <c r="A636" s="2" t="s">
        <v>651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t="s">
        <v>1887</v>
      </c>
      <c r="F636" t="str">
        <f>_xlfn.XLOOKUP(PROPERTIES[[#This Row],[COUNTRY]],COUNTRIES[COUNTRY_DESCRIPTION],COUNTRIES[COUNTRY_LABEL],"")</f>
        <v>RU</v>
      </c>
      <c r="G636" t="str" cm="1">
        <f t="array" ref="G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6" t="s">
        <v>19</v>
      </c>
      <c r="I636">
        <v>0</v>
      </c>
      <c r="J636">
        <v>8</v>
      </c>
      <c r="K636">
        <v>16</v>
      </c>
      <c r="L636" t="str" cm="1">
        <f t="array" ref="L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6">
        <f>_xlfn.XLOOKUP("LOADINGSPEEDDEF_"&amp;PROPERTIES[[#This Row],[LOADINGSPEED]],LOADINGSPEEDDEF[TYPE],LOADINGSPEEDDEF[SPEED])</f>
        <v>20</v>
      </c>
      <c r="N636" t="str" cm="1">
        <f t="array" ref="N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6">
        <f>IF(ISNUMBER(SEARCH("passenger",PROPERTIES[[#This Row],[CARGODEF]])),1,0)</f>
        <v>0</v>
      </c>
      <c r="P636" s="29">
        <v>288</v>
      </c>
      <c r="Q636">
        <v>13438</v>
      </c>
      <c r="R636">
        <v>110</v>
      </c>
      <c r="S636" s="26">
        <v>932</v>
      </c>
      <c r="T636" s="25">
        <f>IFERROR(PROPERTIES[[#This Row],[TE_STARTING_KN]]/(PROPERTIES[[#This Row],[WEIGHT]]*9.81),0)</f>
        <v>0.32987880847208062</v>
      </c>
      <c r="U636" s="25">
        <v>0.25</v>
      </c>
      <c r="V636" s="22">
        <f>ROUND(IF(IFERROR(PROPERTIES[[#This Row],[TE_COEFFICIENT_CALC]],0)=0,PROPERTIES[[#This Row],[TE_COEFFICIENT_MANUAL]],PROPERTIES[[#This Row],[TE_COEFFICIENT_CALC]]),3)</f>
        <v>0.33</v>
      </c>
      <c r="W636" s="10" cm="1">
        <f t="array" ref="W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6" s="32">
        <v>0</v>
      </c>
      <c r="Y636" s="8">
        <v>8</v>
      </c>
      <c r="Z636" t="s">
        <v>3514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8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9" t="b">
        <v>0</v>
      </c>
      <c r="AY636"/>
      <c r="AZ636"/>
      <c r="BA636"/>
    </row>
    <row r="637" spans="1:53">
      <c r="A637" s="2" t="s">
        <v>652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t="s">
        <v>1887</v>
      </c>
      <c r="F637" t="str">
        <f>_xlfn.XLOOKUP(PROPERTIES[[#This Row],[COUNTRY]],COUNTRIES[COUNTRY_DESCRIPTION],COUNTRIES[COUNTRY_LABEL],"")</f>
        <v>RU</v>
      </c>
      <c r="G637" t="str" cm="1">
        <f t="array" ref="G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7" t="s">
        <v>19</v>
      </c>
      <c r="I637">
        <v>0</v>
      </c>
      <c r="J637">
        <v>8</v>
      </c>
      <c r="K637">
        <v>8</v>
      </c>
      <c r="L637" t="str" cm="1">
        <f t="array" ref="L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7">
        <f>_xlfn.XLOOKUP("LOADINGSPEEDDEF_"&amp;PROPERTIES[[#This Row],[LOADINGSPEED]],LOADINGSPEEDDEF[TYPE],LOADINGSPEEDDEF[SPEED])</f>
        <v>20</v>
      </c>
      <c r="N637" cm="1">
        <f t="array" ref="N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7">
        <f>IF(ISNUMBER(SEARCH("passenger",PROPERTIES[[#This Row],[CARGODEF]])),1,0)</f>
        <v>0</v>
      </c>
      <c r="P637" s="29">
        <v>92</v>
      </c>
      <c r="Q637">
        <v>2280</v>
      </c>
      <c r="R637">
        <v>70</v>
      </c>
      <c r="S637" s="26">
        <v>275</v>
      </c>
      <c r="T637" s="25">
        <f>IFERROR(PROPERTIES[[#This Row],[TE_STARTING_KN]]/(PROPERTIES[[#This Row],[WEIGHT]]*9.81),0)</f>
        <v>0.30470238886672868</v>
      </c>
      <c r="U637" s="25">
        <v>0.19</v>
      </c>
      <c r="V637" s="22">
        <f>ROUND(IF(IFERROR(PROPERTIES[[#This Row],[TE_COEFFICIENT_CALC]],0)=0,PROPERTIES[[#This Row],[TE_COEFFICIENT_MANUAL]],PROPERTIES[[#This Row],[TE_COEFFICIENT_CALC]]),3)</f>
        <v>0.30499999999999999</v>
      </c>
      <c r="W637" s="10" cm="1">
        <f t="array" ref="W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7" s="32">
        <v>0</v>
      </c>
      <c r="Y637" s="8">
        <v>0</v>
      </c>
      <c r="Z637" t="s">
        <v>3514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8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9" t="b">
        <v>0</v>
      </c>
      <c r="AY637"/>
      <c r="AZ637"/>
      <c r="BA637"/>
    </row>
    <row r="638" spans="1:53">
      <c r="A638" s="2" t="s">
        <v>653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t="s">
        <v>1801</v>
      </c>
      <c r="F638" t="str">
        <f>_xlfn.XLOOKUP(PROPERTIES[[#This Row],[COUNTRY]],COUNTRIES[COUNTRY_DESCRIPTION],COUNTRIES[COUNTRY_LABEL],"")</f>
        <v>IN</v>
      </c>
      <c r="G638" t="str" cm="1">
        <f t="array" ref="G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8" t="s">
        <v>19</v>
      </c>
      <c r="I638">
        <v>0</v>
      </c>
      <c r="J638">
        <v>8</v>
      </c>
      <c r="K638">
        <v>8</v>
      </c>
      <c r="L638" t="str" cm="1">
        <f t="array" ref="L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8">
        <f>_xlfn.XLOOKUP("LOADINGSPEEDDEF_"&amp;PROPERTIES[[#This Row],[LOADINGSPEED]],LOADINGSPEEDDEF[TYPE],LOADINGSPEEDDEF[SPEED])</f>
        <v>20</v>
      </c>
      <c r="N638" t="str" cm="1">
        <f t="array" ref="N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8">
        <f>IF(ISNUMBER(SEARCH("passenger",PROPERTIES[[#This Row],[CARGODEF]])),1,0)</f>
        <v>0</v>
      </c>
      <c r="P638" s="29">
        <v>113</v>
      </c>
      <c r="Q638">
        <v>5350</v>
      </c>
      <c r="R638">
        <v>140</v>
      </c>
      <c r="S638" s="26">
        <v>302</v>
      </c>
      <c r="T638" s="25">
        <f>IFERROR(PROPERTIES[[#This Row],[TE_STARTING_KN]]/(PROPERTIES[[#This Row],[WEIGHT]]*9.81),0)</f>
        <v>0.2724328615373513</v>
      </c>
      <c r="U638" s="25">
        <v>0.28000000000000003</v>
      </c>
      <c r="V638" s="22">
        <f>ROUND(IF(IFERROR(PROPERTIES[[#This Row],[TE_COEFFICIENT_CALC]],0)=0,PROPERTIES[[#This Row],[TE_COEFFICIENT_MANUAL]],PROPERTIES[[#This Row],[TE_COEFFICIENT_CALC]]),3)</f>
        <v>0.27200000000000002</v>
      </c>
      <c r="W638" s="10" cm="1">
        <f t="array" ref="W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8" s="32">
        <v>0</v>
      </c>
      <c r="Y638" s="8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8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9" t="b">
        <v>0</v>
      </c>
      <c r="AY638"/>
      <c r="AZ638"/>
      <c r="BA638"/>
    </row>
    <row r="639" spans="1:53">
      <c r="A639" s="2" t="s">
        <v>654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t="s">
        <v>1767</v>
      </c>
      <c r="F639" t="str">
        <f>_xlfn.XLOOKUP(PROPERTIES[[#This Row],[COUNTRY]],COUNTRIES[COUNTRY_DESCRIPTION],COUNTRIES[COUNTRY_LABEL],"")</f>
        <v>FI</v>
      </c>
      <c r="G639" t="str" cm="1">
        <f t="array" ref="G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9" t="s">
        <v>19</v>
      </c>
      <c r="I639">
        <v>0</v>
      </c>
      <c r="J639">
        <v>8</v>
      </c>
      <c r="K639">
        <v>8</v>
      </c>
      <c r="L639" t="str" cm="1">
        <f t="array" ref="L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9">
        <f>_xlfn.XLOOKUP("LOADINGSPEEDDEF_"&amp;PROPERTIES[[#This Row],[LOADINGSPEED]],LOADINGSPEEDDEF[TYPE],LOADINGSPEEDDEF[SPEED])</f>
        <v>20</v>
      </c>
      <c r="N639" cm="1">
        <f t="array" ref="N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9">
        <f>IF(ISNUMBER(SEARCH("passenger",PROPERTIES[[#This Row],[CARGODEF]])),1,0)</f>
        <v>0</v>
      </c>
      <c r="P639" s="29">
        <v>84</v>
      </c>
      <c r="Q639">
        <v>4428</v>
      </c>
      <c r="R639">
        <v>140</v>
      </c>
      <c r="S639" s="26">
        <v>280</v>
      </c>
      <c r="T639" s="25">
        <f>IFERROR(PROPERTIES[[#This Row],[TE_STARTING_KN]]/(PROPERTIES[[#This Row],[WEIGHT]]*9.81),0)</f>
        <v>0.33978933061501865</v>
      </c>
      <c r="U639" s="25">
        <v>0.33</v>
      </c>
      <c r="V639" s="22">
        <f>ROUND(IF(IFERROR(PROPERTIES[[#This Row],[TE_COEFFICIENT_CALC]],0)=0,PROPERTIES[[#This Row],[TE_COEFFICIENT_MANUAL]],PROPERTIES[[#This Row],[TE_COEFFICIENT_CALC]]),3)</f>
        <v>0.34</v>
      </c>
      <c r="W639" s="10" cm="1">
        <f t="array" ref="W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9" s="32">
        <v>0</v>
      </c>
      <c r="Y639" s="8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8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9" t="b">
        <v>0</v>
      </c>
      <c r="AY639"/>
      <c r="AZ639"/>
      <c r="BA639"/>
    </row>
    <row r="640" spans="1:53">
      <c r="A640" s="2" t="s">
        <v>655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t="s">
        <v>1821</v>
      </c>
      <c r="F640" t="str">
        <f>_xlfn.XLOOKUP(PROPERTIES[[#This Row],[COUNTRY]],COUNTRIES[COUNTRY_DESCRIPTION],COUNTRIES[COUNTRY_LABEL],"")</f>
        <v>KZ</v>
      </c>
      <c r="G640" t="str" cm="1">
        <f t="array" ref="G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0" t="s">
        <v>19</v>
      </c>
      <c r="I640">
        <v>0</v>
      </c>
      <c r="J640">
        <v>8</v>
      </c>
      <c r="K640">
        <v>8</v>
      </c>
      <c r="L640" t="str" cm="1">
        <f t="array" ref="L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0">
        <f>_xlfn.XLOOKUP("LOADINGSPEEDDEF_"&amp;PROPERTIES[[#This Row],[LOADINGSPEED]],LOADINGSPEEDDEF[TYPE],LOADINGSPEEDDEF[SPEED])</f>
        <v>20</v>
      </c>
      <c r="N640" t="str" cm="1">
        <f t="array" ref="N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0">
        <f>IF(ISNUMBER(SEARCH("passenger",PROPERTIES[[#This Row],[CARGODEF]])),1,0)</f>
        <v>0</v>
      </c>
      <c r="P640" s="29">
        <v>82</v>
      </c>
      <c r="Q640">
        <v>6500</v>
      </c>
      <c r="R640">
        <v>210</v>
      </c>
      <c r="S640" s="26">
        <v>264</v>
      </c>
      <c r="T640" s="25">
        <f>IFERROR(PROPERTIES[[#This Row],[TE_STARTING_KN]]/(PROPERTIES[[#This Row],[WEIGHT]]*9.81),0)</f>
        <v>0.32818676810621317</v>
      </c>
      <c r="U640" s="25">
        <v>0.32</v>
      </c>
      <c r="V640" s="22">
        <f>ROUND(IF(IFERROR(PROPERTIES[[#This Row],[TE_COEFFICIENT_CALC]],0)=0,PROPERTIES[[#This Row],[TE_COEFFICIENT_MANUAL]],PROPERTIES[[#This Row],[TE_COEFFICIENT_CALC]]),3)</f>
        <v>0.32800000000000001</v>
      </c>
      <c r="W640" s="10" cm="1">
        <f t="array" ref="W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0" s="32">
        <v>0</v>
      </c>
      <c r="Y640" s="8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8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9" t="b">
        <v>0</v>
      </c>
      <c r="AY640"/>
      <c r="AZ640"/>
      <c r="BA640"/>
    </row>
    <row r="641" spans="1:53">
      <c r="A641" s="2" t="s">
        <v>656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t="s">
        <v>1821</v>
      </c>
      <c r="F641" t="str">
        <f>_xlfn.XLOOKUP(PROPERTIES[[#This Row],[COUNTRY]],COUNTRIES[COUNTRY_DESCRIPTION],COUNTRIES[COUNTRY_LABEL],"")</f>
        <v>KZ</v>
      </c>
      <c r="G641" t="str" cm="1">
        <f t="array" ref="G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1" t="s">
        <v>19</v>
      </c>
      <c r="I641">
        <v>0</v>
      </c>
      <c r="J641">
        <v>8</v>
      </c>
      <c r="K641">
        <v>16</v>
      </c>
      <c r="L641" t="str" cm="1">
        <f t="array" ref="L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1">
        <f>_xlfn.XLOOKUP("LOADINGSPEEDDEF_"&amp;PROPERTIES[[#This Row],[LOADINGSPEED]],LOADINGSPEEDDEF[TYPE],LOADINGSPEEDDEF[SPEED])</f>
        <v>20</v>
      </c>
      <c r="N641" t="str" cm="1">
        <f t="array" ref="N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1">
        <f>IF(ISNUMBER(SEARCH("passenger",PROPERTIES[[#This Row],[CARGODEF]])),1,0)</f>
        <v>0</v>
      </c>
      <c r="P641" s="29">
        <v>200</v>
      </c>
      <c r="Q641">
        <v>11800</v>
      </c>
      <c r="R641">
        <v>120</v>
      </c>
      <c r="S641" s="26">
        <v>833</v>
      </c>
      <c r="T641" s="25">
        <f>IFERROR(PROPERTIES[[#This Row],[TE_STARTING_KN]]/(PROPERTIES[[#This Row],[WEIGHT]]*9.81),0)</f>
        <v>0.42456676860346587</v>
      </c>
      <c r="U641" s="25">
        <v>0.42</v>
      </c>
      <c r="V641" s="22">
        <f>ROUND(IF(IFERROR(PROPERTIES[[#This Row],[TE_COEFFICIENT_CALC]],0)=0,PROPERTIES[[#This Row],[TE_COEFFICIENT_MANUAL]],PROPERTIES[[#This Row],[TE_COEFFICIENT_CALC]]),3)</f>
        <v>0.42499999999999999</v>
      </c>
      <c r="W641" s="10" cm="1">
        <f t="array" ref="W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1" s="32">
        <v>0</v>
      </c>
      <c r="Y641" s="8">
        <v>8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8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9" t="b">
        <v>0</v>
      </c>
      <c r="AY641"/>
      <c r="AZ641"/>
      <c r="BA641"/>
    </row>
    <row r="642" spans="1:53">
      <c r="A642" s="2" t="s">
        <v>657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t="s">
        <v>1887</v>
      </c>
      <c r="F642" t="str">
        <f>_xlfn.XLOOKUP(PROPERTIES[[#This Row],[COUNTRY]],COUNTRIES[COUNTRY_DESCRIPTION],COUNTRIES[COUNTRY_LABEL],"")</f>
        <v>RU</v>
      </c>
      <c r="G642" t="str" cm="1">
        <f t="array" ref="G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2" t="s">
        <v>19</v>
      </c>
      <c r="I642">
        <v>0</v>
      </c>
      <c r="J642">
        <v>8</v>
      </c>
      <c r="K642">
        <v>8</v>
      </c>
      <c r="L642" t="str" cm="1">
        <f t="array" ref="L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2">
        <f>_xlfn.XLOOKUP("LOADINGSPEEDDEF_"&amp;PROPERTIES[[#This Row],[LOADINGSPEED]],LOADINGSPEEDDEF[TYPE],LOADINGSPEEDDEF[SPEED])</f>
        <v>20</v>
      </c>
      <c r="N642" t="str" cm="1">
        <f t="array" ref="N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2">
        <f>IF(ISNUMBER(SEARCH("passenger",PROPERTIES[[#This Row],[CARGODEF]])),1,0)</f>
        <v>0</v>
      </c>
      <c r="P642" s="29">
        <v>135</v>
      </c>
      <c r="Q642">
        <v>9655</v>
      </c>
      <c r="R642">
        <v>200</v>
      </c>
      <c r="S642" s="26">
        <v>450</v>
      </c>
      <c r="T642" s="25">
        <f>IFERROR(PROPERTIES[[#This Row],[TE_STARTING_KN]]/(PROPERTIES[[#This Row],[WEIGHT]]*9.81),0)</f>
        <v>0.33978933061501865</v>
      </c>
      <c r="U642" s="25">
        <v>0.26</v>
      </c>
      <c r="V642" s="22">
        <f>ROUND(IF(IFERROR(PROPERTIES[[#This Row],[TE_COEFFICIENT_CALC]],0)=0,PROPERTIES[[#This Row],[TE_COEFFICIENT_MANUAL]],PROPERTIES[[#This Row],[TE_COEFFICIENT_CALC]]),3)</f>
        <v>0.34</v>
      </c>
      <c r="W642" s="10" cm="1">
        <f t="array" ref="W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2" s="32">
        <v>0</v>
      </c>
      <c r="Y642" s="8">
        <v>0</v>
      </c>
      <c r="Z642" t="s">
        <v>3514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8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9" t="b">
        <v>0</v>
      </c>
      <c r="AY642"/>
      <c r="AZ642"/>
      <c r="BA642"/>
    </row>
    <row r="643" spans="1:53">
      <c r="A643" s="2" t="s">
        <v>658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t="s">
        <v>1767</v>
      </c>
      <c r="F643" t="str">
        <f>_xlfn.XLOOKUP(PROPERTIES[[#This Row],[COUNTRY]],COUNTRIES[COUNTRY_DESCRIPTION],COUNTRIES[COUNTRY_LABEL],"")</f>
        <v>FI</v>
      </c>
      <c r="G643" t="str" cm="1">
        <f t="array" ref="G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3" t="s">
        <v>17</v>
      </c>
      <c r="I643">
        <v>64</v>
      </c>
      <c r="J643">
        <v>7</v>
      </c>
      <c r="K643">
        <v>7</v>
      </c>
      <c r="L643" t="str" cm="1">
        <f t="array" ref="L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3">
        <f>_xlfn.XLOOKUP("LOADINGSPEEDDEF_"&amp;PROPERTIES[[#This Row],[LOADINGSPEED]],LOADINGSPEEDDEF[TYPE],LOADINGSPEEDDEF[SPEED])</f>
        <v>40</v>
      </c>
      <c r="N643" cm="1">
        <f t="array" ref="N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3">
        <f>IF(ISNUMBER(SEARCH("passenger",PROPERTIES[[#This Row],[CARGODEF]])),1,0)</f>
        <v>1</v>
      </c>
      <c r="P643" s="29">
        <v>18</v>
      </c>
      <c r="Q643">
        <v>180</v>
      </c>
      <c r="R643">
        <v>95</v>
      </c>
      <c r="S643" s="26">
        <v>29</v>
      </c>
      <c r="T643" s="25">
        <f>IFERROR(PROPERTIES[[#This Row],[TE_STARTING_KN]]/(PROPERTIES[[#This Row],[WEIGHT]]*9.81),0)</f>
        <v>0.16423150979725903</v>
      </c>
      <c r="U643" s="25">
        <v>0.33</v>
      </c>
      <c r="V643" s="22">
        <f>ROUND(IF(IFERROR(PROPERTIES[[#This Row],[TE_COEFFICIENT_CALC]],0)=0,PROPERTIES[[#This Row],[TE_COEFFICIENT_MANUAL]],PROPERTIES[[#This Row],[TE_COEFFICIENT_CALC]]),3)</f>
        <v>0.16400000000000001</v>
      </c>
      <c r="W643" s="10" cm="1">
        <f t="array" ref="W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3" s="32">
        <v>0</v>
      </c>
      <c r="Y643" s="8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8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9" t="b">
        <v>0</v>
      </c>
      <c r="AY643"/>
      <c r="AZ643"/>
      <c r="BA643"/>
    </row>
    <row r="644" spans="1:53">
      <c r="A644" s="2" t="s">
        <v>659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t="s">
        <v>1887</v>
      </c>
      <c r="F644" t="str">
        <f>_xlfn.XLOOKUP(PROPERTIES[[#This Row],[COUNTRY]],COUNTRIES[COUNTRY_DESCRIPTION],COUNTRIES[COUNTRY_LABEL],"")</f>
        <v>RU</v>
      </c>
      <c r="G644" t="str" cm="1">
        <f t="array" ref="G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4" t="s">
        <v>17</v>
      </c>
      <c r="I644">
        <v>67</v>
      </c>
      <c r="J644">
        <v>8</v>
      </c>
      <c r="K644">
        <v>8</v>
      </c>
      <c r="L644" t="str" cm="1">
        <f t="array" ref="L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4">
        <f>_xlfn.XLOOKUP("LOADINGSPEEDDEF_"&amp;PROPERTIES[[#This Row],[LOADINGSPEED]],LOADINGSPEEDDEF[TYPE],LOADINGSPEEDDEF[SPEED])</f>
        <v>40</v>
      </c>
      <c r="N644" cm="1">
        <f t="array" ref="N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4">
        <f>IF(ISNUMBER(SEARCH("passenger",PROPERTIES[[#This Row],[CARGODEF]])),1,0)</f>
        <v>1</v>
      </c>
      <c r="P644" s="29">
        <v>59</v>
      </c>
      <c r="Q644">
        <v>990</v>
      </c>
      <c r="R644">
        <v>120</v>
      </c>
      <c r="S644" s="26">
        <v>157</v>
      </c>
      <c r="T644" s="25">
        <f>IFERROR(PROPERTIES[[#This Row],[TE_STARTING_KN]]/(PROPERTIES[[#This Row],[WEIGHT]]*9.81),0)</f>
        <v>0.27125555037232846</v>
      </c>
      <c r="U644" s="25">
        <v>0.24</v>
      </c>
      <c r="V644" s="22">
        <f>ROUND(IF(IFERROR(PROPERTIES[[#This Row],[TE_COEFFICIENT_CALC]],0)=0,PROPERTIES[[#This Row],[TE_COEFFICIENT_MANUAL]],PROPERTIES[[#This Row],[TE_COEFFICIENT_CALC]]),3)</f>
        <v>0.27100000000000002</v>
      </c>
      <c r="W644" s="10" cm="1">
        <f t="array" ref="W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4" s="32">
        <v>0</v>
      </c>
      <c r="Y644" s="8">
        <v>0</v>
      </c>
      <c r="Z644" t="s">
        <v>3514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8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9" t="b">
        <v>0</v>
      </c>
      <c r="AY644"/>
      <c r="AZ644"/>
      <c r="BA644"/>
    </row>
    <row r="645" spans="1:53">
      <c r="A645" s="2" t="s">
        <v>660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t="s">
        <v>1887</v>
      </c>
      <c r="F645" t="str">
        <f>_xlfn.XLOOKUP(PROPERTIES[[#This Row],[COUNTRY]],COUNTRIES[COUNTRY_DESCRIPTION],COUNTRIES[COUNTRY_LABEL],"")</f>
        <v>RU</v>
      </c>
      <c r="G645" t="str" cm="1">
        <f t="array" ref="G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5" t="s">
        <v>17</v>
      </c>
      <c r="I645">
        <v>64</v>
      </c>
      <c r="J645">
        <v>8</v>
      </c>
      <c r="K645">
        <v>8</v>
      </c>
      <c r="L645" t="str" cm="1">
        <f t="array" ref="L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45">
        <f>_xlfn.XLOOKUP("LOADINGSPEEDDEF_"&amp;PROPERTIES[[#This Row],[LOADINGSPEED]],LOADINGSPEEDDEF[TYPE],LOADINGSPEEDDEF[SPEED])</f>
        <v>16</v>
      </c>
      <c r="N645" cm="1">
        <f t="array" ref="N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5">
        <f>IF(ISNUMBER(SEARCH("passenger",PROPERTIES[[#This Row],[CARGODEF]])),1,0)</f>
        <v>1</v>
      </c>
      <c r="P645" s="29">
        <v>49</v>
      </c>
      <c r="Q645">
        <v>1280</v>
      </c>
      <c r="R645">
        <v>200</v>
      </c>
      <c r="S645" s="26">
        <v>35.6</v>
      </c>
      <c r="T645" s="25">
        <f>IFERROR(PROPERTIES[[#This Row],[TE_STARTING_KN]]/(PROPERTIES[[#This Row],[WEIGHT]]*9.81),0)</f>
        <v>7.4060205121804071E-2</v>
      </c>
      <c r="U645" s="25">
        <v>0.13</v>
      </c>
      <c r="V645" s="22">
        <f>ROUND(IF(IFERROR(PROPERTIES[[#This Row],[TE_COEFFICIENT_CALC]],0)=0,PROPERTIES[[#This Row],[TE_COEFFICIENT_MANUAL]],PROPERTIES[[#This Row],[TE_COEFFICIENT_CALC]]),3)</f>
        <v>7.3999999999999996E-2</v>
      </c>
      <c r="W645" s="10" cm="1">
        <f t="array" ref="W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5" s="32">
        <v>64</v>
      </c>
      <c r="Y645" s="8">
        <v>8</v>
      </c>
      <c r="Z645" t="s">
        <v>875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8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9" t="b">
        <v>0</v>
      </c>
      <c r="AY645"/>
      <c r="AZ645"/>
      <c r="BA645"/>
    </row>
    <row r="646" spans="1:53">
      <c r="A646" s="2" t="s">
        <v>661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t="s">
        <v>1887</v>
      </c>
      <c r="F646" t="str">
        <f>_xlfn.XLOOKUP(PROPERTIES[[#This Row],[COUNTRY]],COUNTRIES[COUNTRY_DESCRIPTION],COUNTRIES[COUNTRY_LABEL],"")</f>
        <v>RU</v>
      </c>
      <c r="G646" t="str" cm="1">
        <f t="array" ref="G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6" t="s">
        <v>17</v>
      </c>
      <c r="I646">
        <v>110</v>
      </c>
      <c r="J646">
        <v>7</v>
      </c>
      <c r="K646">
        <v>7</v>
      </c>
      <c r="L646" t="str" cm="1">
        <f t="array" ref="L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6">
        <f>_xlfn.XLOOKUP("LOADINGSPEEDDEF_"&amp;PROPERTIES[[#This Row],[LOADINGSPEED]],LOADINGSPEEDDEF[TYPE],LOADINGSPEEDDEF[SPEED])</f>
        <v>40</v>
      </c>
      <c r="N646" cm="1">
        <f t="array" ref="N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6">
        <f>IF(ISNUMBER(SEARCH("passenger",PROPERTIES[[#This Row],[CARGODEF]])),1,0)</f>
        <v>1</v>
      </c>
      <c r="P646" s="29">
        <v>58.9</v>
      </c>
      <c r="Q646">
        <f>805*2</f>
        <v>1610</v>
      </c>
      <c r="R646">
        <v>85</v>
      </c>
      <c r="S646" s="26">
        <v>145</v>
      </c>
      <c r="T646" s="25">
        <f>IFERROR(PROPERTIES[[#This Row],[TE_STARTING_KN]]/(PROPERTIES[[#This Row],[WEIGHT]]*9.81),0)</f>
        <v>0.25094797761890175</v>
      </c>
      <c r="U646" s="25">
        <v>0.08</v>
      </c>
      <c r="V646" s="22">
        <f>ROUND(IF(IFERROR(PROPERTIES[[#This Row],[TE_COEFFICIENT_CALC]],0)=0,PROPERTIES[[#This Row],[TE_COEFFICIENT_MANUAL]],PROPERTIES[[#This Row],[TE_COEFFICIENT_CALC]]),3)</f>
        <v>0.251</v>
      </c>
      <c r="W646" s="10" cm="1">
        <f t="array" ref="W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646" s="32">
        <v>110</v>
      </c>
      <c r="Y646" s="8">
        <v>7</v>
      </c>
      <c r="Z646" t="s">
        <v>3514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8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9" t="b">
        <v>0</v>
      </c>
      <c r="AY646"/>
      <c r="AZ646"/>
      <c r="BA646"/>
    </row>
    <row r="647" spans="1:53">
      <c r="A647" s="2" t="s">
        <v>662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t="s">
        <v>1794</v>
      </c>
      <c r="F647" t="str">
        <f>_xlfn.XLOOKUP(PROPERTIES[[#This Row],[COUNTRY]],COUNTRIES[COUNTRY_DESCRIPTION],COUNTRIES[COUNTRY_LABEL],"")</f>
        <v>HR</v>
      </c>
      <c r="G647" t="str" cm="1">
        <f t="array" ref="G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7" t="s">
        <v>17</v>
      </c>
      <c r="I647">
        <v>60</v>
      </c>
      <c r="J647">
        <v>8</v>
      </c>
      <c r="K647">
        <v>8</v>
      </c>
      <c r="L647" t="str" cm="1">
        <f t="array" ref="L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7">
        <f>_xlfn.XLOOKUP("LOADINGSPEEDDEF_"&amp;PROPERTIES[[#This Row],[LOADINGSPEED]],LOADINGSPEEDDEF[TYPE],LOADINGSPEEDDEF[SPEED])</f>
        <v>40</v>
      </c>
      <c r="N647" t="str" cm="1">
        <f t="array" ref="N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7">
        <f>IF(ISNUMBER(SEARCH("passenger",PROPERTIES[[#This Row],[CARGODEF]])),1,0)</f>
        <v>1</v>
      </c>
      <c r="P647" s="29">
        <v>43</v>
      </c>
      <c r="Q647">
        <v>2700</v>
      </c>
      <c r="R647">
        <v>160</v>
      </c>
      <c r="S647" s="26">
        <v>100</v>
      </c>
      <c r="T647" s="25">
        <f>IFERROR(PROPERTIES[[#This Row],[TE_STARTING_KN]]/(PROPERTIES[[#This Row],[WEIGHT]]*9.81),0)</f>
        <v>0.23706232368489674</v>
      </c>
      <c r="U647" s="25">
        <v>0.47</v>
      </c>
      <c r="V647" s="22">
        <f>ROUND(IF(IFERROR(PROPERTIES[[#This Row],[TE_COEFFICIENT_CALC]],0)=0,PROPERTIES[[#This Row],[TE_COEFFICIENT_MANUAL]],PROPERTIES[[#This Row],[TE_COEFFICIENT_CALC]]),3)</f>
        <v>0.23699999999999999</v>
      </c>
      <c r="W647" s="10" cm="1">
        <f t="array" ref="W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7" s="32">
        <v>60</v>
      </c>
      <c r="Y647" s="8">
        <v>8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8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9" t="b">
        <v>0</v>
      </c>
      <c r="AY647"/>
      <c r="AZ647"/>
      <c r="BA647"/>
    </row>
    <row r="648" spans="1:53">
      <c r="A648" s="2" t="s">
        <v>663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t="s">
        <v>1887</v>
      </c>
      <c r="F648" t="str">
        <f>_xlfn.XLOOKUP(PROPERTIES[[#This Row],[COUNTRY]],COUNTRIES[COUNTRY_DESCRIPTION],COUNTRIES[COUNTRY_LABEL],"")</f>
        <v>RU</v>
      </c>
      <c r="G648" t="str" cm="1">
        <f t="array" ref="G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8" t="s">
        <v>17</v>
      </c>
      <c r="I648">
        <v>67</v>
      </c>
      <c r="J648">
        <v>8</v>
      </c>
      <c r="K648">
        <v>8</v>
      </c>
      <c r="L648" t="str" cm="1">
        <f t="array" ref="L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8">
        <f>_xlfn.XLOOKUP("LOADINGSPEEDDEF_"&amp;PROPERTIES[[#This Row],[LOADINGSPEED]],LOADINGSPEEDDEF[TYPE],LOADINGSPEEDDEF[SPEED])</f>
        <v>40</v>
      </c>
      <c r="N648" t="str" cm="1">
        <f t="array" ref="N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8">
        <f>IF(ISNUMBER(SEARCH("passenger",PROPERTIES[[#This Row],[CARGODEF]])),1,0)</f>
        <v>1</v>
      </c>
      <c r="P648" s="29">
        <v>56</v>
      </c>
      <c r="Q648">
        <v>2700</v>
      </c>
      <c r="R648">
        <v>160</v>
      </c>
      <c r="S648" s="26">
        <v>90</v>
      </c>
      <c r="T648" s="25">
        <f>IFERROR(PROPERTIES[[#This Row],[TE_STARTING_KN]]/(PROPERTIES[[#This Row],[WEIGHT]]*9.81),0)</f>
        <v>0.163826998689384</v>
      </c>
      <c r="U648" s="25">
        <v>0.54</v>
      </c>
      <c r="V648" s="22">
        <f>ROUND(IF(IFERROR(PROPERTIES[[#This Row],[TE_COEFFICIENT_CALC]],0)=0,PROPERTIES[[#This Row],[TE_COEFFICIENT_MANUAL]],PROPERTIES[[#This Row],[TE_COEFFICIENT_CALC]]),3)</f>
        <v>0.16400000000000001</v>
      </c>
      <c r="W648" s="10" cm="1">
        <f t="array" ref="W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8" s="32">
        <v>88</v>
      </c>
      <c r="Y648" s="8">
        <v>8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8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9" t="b">
        <v>0</v>
      </c>
      <c r="AY648"/>
      <c r="AZ648"/>
      <c r="BA648"/>
    </row>
    <row r="649" spans="1:53">
      <c r="A649" s="2" t="s">
        <v>712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49" t="str">
        <f>_xlfn.XLOOKUP(PROPERTIES[[#This Row],[COUNTRY]],COUNTRIES[COUNTRY_DESCRIPTION],COUNTRIES[COUNTRY_LABEL],"")</f>
        <v/>
      </c>
      <c r="G649" t="str" cm="1">
        <f t="array" ref="G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49" t="s">
        <v>320</v>
      </c>
      <c r="I649">
        <v>1</v>
      </c>
      <c r="J649">
        <v>8</v>
      </c>
      <c r="K649">
        <v>8</v>
      </c>
      <c r="L649" t="str" cm="1">
        <f t="array" ref="L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49">
        <f>_xlfn.XLOOKUP("LOADINGSPEEDDEF_"&amp;PROPERTIES[[#This Row],[LOADINGSPEED]],LOADINGSPEEDDEF[TYPE],LOADINGSPEEDDEF[SPEED])</f>
        <v>120</v>
      </c>
      <c r="N649" t="str" cm="1">
        <f t="array" ref="N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9">
        <f>IF(ISNUMBER(SEARCH("passenger",PROPERTIES[[#This Row],[CARGODEF]])),1,0)</f>
        <v>1</v>
      </c>
      <c r="P649" s="29">
        <v>0</v>
      </c>
      <c r="Q649">
        <v>0</v>
      </c>
      <c r="R649">
        <v>0</v>
      </c>
      <c r="S649" s="26">
        <v>0</v>
      </c>
      <c r="T649" s="25">
        <f>IFERROR(PROPERTIES[[#This Row],[TE_STARTING_KN]]/(PROPERTIES[[#This Row],[WEIGHT]]*9.81),0)</f>
        <v>0</v>
      </c>
      <c r="U649" s="25">
        <v>0.3</v>
      </c>
      <c r="V649" s="22">
        <f>ROUND(IF(IFERROR(PROPERTIES[[#This Row],[TE_COEFFICIENT_CALC]],0)=0,PROPERTIES[[#This Row],[TE_COEFFICIENT_MANUAL]],PROPERTIES[[#This Row],[TE_COEFFICIENT_CALC]]),3)</f>
        <v>0.3</v>
      </c>
      <c r="W649" s="10" cm="1">
        <f t="array" ref="W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49" s="32">
        <v>0</v>
      </c>
      <c r="Y649" s="8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8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9" t="b">
        <v>0</v>
      </c>
      <c r="AY649"/>
      <c r="AZ649"/>
      <c r="BA649"/>
    </row>
    <row r="650" spans="1:53">
      <c r="A650" s="2" t="s">
        <v>711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0" t="str">
        <f>_xlfn.XLOOKUP(PROPERTIES[[#This Row],[COUNTRY]],COUNTRIES[COUNTRY_DESCRIPTION],COUNTRIES[COUNTRY_LABEL],"")</f>
        <v/>
      </c>
      <c r="G650" t="str" cm="1">
        <f t="array" ref="G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50" t="s">
        <v>320</v>
      </c>
      <c r="I650">
        <v>1</v>
      </c>
      <c r="J650">
        <v>8</v>
      </c>
      <c r="K650">
        <v>8</v>
      </c>
      <c r="L650" t="str" cm="1">
        <f t="array" ref="L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50">
        <f>_xlfn.XLOOKUP("LOADINGSPEEDDEF_"&amp;PROPERTIES[[#This Row],[LOADINGSPEED]],LOADINGSPEEDDEF[TYPE],LOADINGSPEEDDEF[SPEED])</f>
        <v>120</v>
      </c>
      <c r="N650" t="str" cm="1">
        <f t="array" ref="N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0">
        <f>IF(ISNUMBER(SEARCH("passenger",PROPERTIES[[#This Row],[CARGODEF]])),1,0)</f>
        <v>1</v>
      </c>
      <c r="P650" s="29">
        <v>0</v>
      </c>
      <c r="Q650">
        <v>0</v>
      </c>
      <c r="R650">
        <v>0</v>
      </c>
      <c r="S650" s="26">
        <v>0</v>
      </c>
      <c r="T650" s="25">
        <f>IFERROR(PROPERTIES[[#This Row],[TE_STARTING_KN]]/(PROPERTIES[[#This Row],[WEIGHT]]*9.81),0)</f>
        <v>0</v>
      </c>
      <c r="U650" s="25">
        <v>0.3</v>
      </c>
      <c r="V650" s="22">
        <f>ROUND(IF(IFERROR(PROPERTIES[[#This Row],[TE_COEFFICIENT_CALC]],0)=0,PROPERTIES[[#This Row],[TE_COEFFICIENT_MANUAL]],PROPERTIES[[#This Row],[TE_COEFFICIENT_CALC]]),3)</f>
        <v>0.3</v>
      </c>
      <c r="W650" s="10" cm="1">
        <f t="array" ref="W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0" s="32">
        <v>0</v>
      </c>
      <c r="Y650" s="8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8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9" t="b">
        <v>0</v>
      </c>
      <c r="AY650"/>
      <c r="AZ650"/>
      <c r="BA650"/>
    </row>
    <row r="651" spans="1:53">
      <c r="A651" s="2" t="s">
        <v>713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1" t="str">
        <f>_xlfn.XLOOKUP(PROPERTIES[[#This Row],[COUNTRY]],COUNTRIES[COUNTRY_DESCRIPTION],COUNTRIES[COUNTRY_LABEL],"")</f>
        <v/>
      </c>
      <c r="G651" t="str" cm="1">
        <f t="array" ref="G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1" t="s">
        <v>526</v>
      </c>
      <c r="I651">
        <v>1</v>
      </c>
      <c r="J651">
        <v>8</v>
      </c>
      <c r="K651">
        <v>8</v>
      </c>
      <c r="L651" t="str" cm="1">
        <f t="array" ref="L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1">
        <f>_xlfn.XLOOKUP("LOADINGSPEEDDEF_"&amp;PROPERTIES[[#This Row],[LOADINGSPEED]],LOADINGSPEEDDEF[TYPE],LOADINGSPEEDDEF[SPEED])</f>
        <v>40</v>
      </c>
      <c r="N651" t="str" cm="1">
        <f t="array" ref="N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1">
        <f>IF(ISNUMBER(SEARCH("passenger",PROPERTIES[[#This Row],[CARGODEF]])),1,0)</f>
        <v>0</v>
      </c>
      <c r="P651" s="29">
        <v>0</v>
      </c>
      <c r="Q651">
        <v>0</v>
      </c>
      <c r="R651">
        <v>0</v>
      </c>
      <c r="S651" s="26">
        <v>0</v>
      </c>
      <c r="T651" s="25">
        <f>IFERROR(PROPERTIES[[#This Row],[TE_STARTING_KN]]/(PROPERTIES[[#This Row],[WEIGHT]]*9.81),0)</f>
        <v>0</v>
      </c>
      <c r="U651" s="25">
        <v>0.3</v>
      </c>
      <c r="V651" s="22">
        <f>ROUND(IF(IFERROR(PROPERTIES[[#This Row],[TE_COEFFICIENT_CALC]],0)=0,PROPERTIES[[#This Row],[TE_COEFFICIENT_MANUAL]],PROPERTIES[[#This Row],[TE_COEFFICIENT_CALC]]),3)</f>
        <v>0.3</v>
      </c>
      <c r="W651" s="10" cm="1">
        <f t="array" ref="W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1" s="32">
        <v>0</v>
      </c>
      <c r="Y651" s="8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8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9" t="b">
        <v>0</v>
      </c>
      <c r="AY651"/>
      <c r="AZ651"/>
      <c r="BA651"/>
    </row>
    <row r="652" spans="1:53">
      <c r="A652" s="2" t="s">
        <v>714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2" t="str">
        <f>_xlfn.XLOOKUP(PROPERTIES[[#This Row],[COUNTRY]],COUNTRIES[COUNTRY_DESCRIPTION],COUNTRIES[COUNTRY_LABEL],"")</f>
        <v/>
      </c>
      <c r="G652" t="str" cm="1">
        <f t="array" ref="G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2" t="s">
        <v>526</v>
      </c>
      <c r="I652">
        <v>1</v>
      </c>
      <c r="J652">
        <v>8</v>
      </c>
      <c r="K652">
        <v>8</v>
      </c>
      <c r="L652" t="str" cm="1">
        <f t="array" ref="L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2">
        <f>_xlfn.XLOOKUP("LOADINGSPEEDDEF_"&amp;PROPERTIES[[#This Row],[LOADINGSPEED]],LOADINGSPEEDDEF[TYPE],LOADINGSPEEDDEF[SPEED])</f>
        <v>40</v>
      </c>
      <c r="N652" t="str" cm="1">
        <f t="array" ref="N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2">
        <f>IF(ISNUMBER(SEARCH("passenger",PROPERTIES[[#This Row],[CARGODEF]])),1,0)</f>
        <v>0</v>
      </c>
      <c r="P652" s="29">
        <v>0</v>
      </c>
      <c r="Q652">
        <v>0</v>
      </c>
      <c r="R652">
        <v>0</v>
      </c>
      <c r="S652" s="26">
        <v>0</v>
      </c>
      <c r="T652" s="25">
        <f>IFERROR(PROPERTIES[[#This Row],[TE_STARTING_KN]]/(PROPERTIES[[#This Row],[WEIGHT]]*9.81),0)</f>
        <v>0</v>
      </c>
      <c r="U652" s="25">
        <v>0.3</v>
      </c>
      <c r="V652" s="22">
        <f>ROUND(IF(IFERROR(PROPERTIES[[#This Row],[TE_COEFFICIENT_CALC]],0)=0,PROPERTIES[[#This Row],[TE_COEFFICIENT_MANUAL]],PROPERTIES[[#This Row],[TE_COEFFICIENT_CALC]]),3)</f>
        <v>0.3</v>
      </c>
      <c r="W652" s="10" cm="1">
        <f t="array" ref="W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2" s="32">
        <v>0</v>
      </c>
      <c r="Y652" s="8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8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9" t="b">
        <v>0</v>
      </c>
      <c r="AY652"/>
      <c r="AZ652"/>
      <c r="BA652"/>
    </row>
    <row r="653" spans="1:53">
      <c r="A653" s="2" t="s">
        <v>715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3" t="str">
        <f>_xlfn.XLOOKUP(PROPERTIES[[#This Row],[COUNTRY]],COUNTRIES[COUNTRY_DESCRIPTION],COUNTRIES[COUNTRY_LABEL],"")</f>
        <v/>
      </c>
      <c r="G653" t="str" cm="1">
        <f t="array" ref="G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3" t="s">
        <v>17</v>
      </c>
      <c r="I653">
        <v>1</v>
      </c>
      <c r="J653">
        <v>8</v>
      </c>
      <c r="K653">
        <v>8</v>
      </c>
      <c r="L653" t="str" cm="1">
        <f t="array" ref="L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3">
        <f>_xlfn.XLOOKUP("LOADINGSPEEDDEF_"&amp;PROPERTIES[[#This Row],[LOADINGSPEED]],LOADINGSPEEDDEF[TYPE],LOADINGSPEEDDEF[SPEED])</f>
        <v>40</v>
      </c>
      <c r="N653" t="str" cm="1">
        <f t="array" ref="N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3">
        <f>IF(ISNUMBER(SEARCH("passenger",PROPERTIES[[#This Row],[CARGODEF]])),1,0)</f>
        <v>1</v>
      </c>
      <c r="P653" s="29">
        <v>0</v>
      </c>
      <c r="Q653">
        <v>0</v>
      </c>
      <c r="R653">
        <v>0</v>
      </c>
      <c r="S653" s="26">
        <v>0</v>
      </c>
      <c r="T653" s="25">
        <f>IFERROR(PROPERTIES[[#This Row],[TE_STARTING_KN]]/(PROPERTIES[[#This Row],[WEIGHT]]*9.81),0)</f>
        <v>0</v>
      </c>
      <c r="U653" s="25">
        <v>0.3</v>
      </c>
      <c r="V653" s="22">
        <f>ROUND(IF(IFERROR(PROPERTIES[[#This Row],[TE_COEFFICIENT_CALC]],0)=0,PROPERTIES[[#This Row],[TE_COEFFICIENT_MANUAL]],PROPERTIES[[#This Row],[TE_COEFFICIENT_CALC]]),3)</f>
        <v>0.3</v>
      </c>
      <c r="W653" s="10" cm="1">
        <f t="array" ref="W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3" s="32">
        <v>0</v>
      </c>
      <c r="Y653" s="8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8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9" t="b">
        <v>0</v>
      </c>
      <c r="AY653"/>
      <c r="AZ653"/>
      <c r="BA653"/>
    </row>
    <row r="654" spans="1:53">
      <c r="A654" s="2" t="s">
        <v>716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4" t="str">
        <f>_xlfn.XLOOKUP(PROPERTIES[[#This Row],[COUNTRY]],COUNTRIES[COUNTRY_DESCRIPTION],COUNTRIES[COUNTRY_LABEL],"")</f>
        <v/>
      </c>
      <c r="G654" t="str" cm="1">
        <f t="array" ref="G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4" t="s">
        <v>17</v>
      </c>
      <c r="I654">
        <v>1</v>
      </c>
      <c r="J654">
        <v>8</v>
      </c>
      <c r="K654">
        <v>8</v>
      </c>
      <c r="L654" t="str" cm="1">
        <f t="array" ref="L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4">
        <f>_xlfn.XLOOKUP("LOADINGSPEEDDEF_"&amp;PROPERTIES[[#This Row],[LOADINGSPEED]],LOADINGSPEEDDEF[TYPE],LOADINGSPEEDDEF[SPEED])</f>
        <v>40</v>
      </c>
      <c r="N654" t="str" cm="1">
        <f t="array" ref="N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4">
        <f>IF(ISNUMBER(SEARCH("passenger",PROPERTIES[[#This Row],[CARGODEF]])),1,0)</f>
        <v>1</v>
      </c>
      <c r="P654" s="29">
        <v>0</v>
      </c>
      <c r="Q654">
        <v>0</v>
      </c>
      <c r="R654">
        <v>0</v>
      </c>
      <c r="S654" s="26">
        <v>0</v>
      </c>
      <c r="T654" s="25">
        <f>IFERROR(PROPERTIES[[#This Row],[TE_STARTING_KN]]/(PROPERTIES[[#This Row],[WEIGHT]]*9.81),0)</f>
        <v>0</v>
      </c>
      <c r="U654" s="25">
        <v>0.3</v>
      </c>
      <c r="V654" s="22">
        <f>ROUND(IF(IFERROR(PROPERTIES[[#This Row],[TE_COEFFICIENT_CALC]],0)=0,PROPERTIES[[#This Row],[TE_COEFFICIENT_MANUAL]],PROPERTIES[[#This Row],[TE_COEFFICIENT_CALC]]),3)</f>
        <v>0.3</v>
      </c>
      <c r="W654" s="10" cm="1">
        <f t="array" ref="W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4" s="32">
        <v>0</v>
      </c>
      <c r="Y654" s="8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8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9" t="b">
        <v>0</v>
      </c>
      <c r="AY654"/>
      <c r="AZ654"/>
      <c r="BA654"/>
    </row>
    <row r="655" spans="1:53">
      <c r="A655" s="2" t="s">
        <v>717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5" t="str">
        <f>_xlfn.XLOOKUP(PROPERTIES[[#This Row],[COUNTRY]],COUNTRIES[COUNTRY_DESCRIPTION],COUNTRIES[COUNTRY_LABEL],"")</f>
        <v/>
      </c>
      <c r="G655" t="str" cm="1">
        <f t="array" ref="G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5" t="s">
        <v>595</v>
      </c>
      <c r="I655">
        <v>20</v>
      </c>
      <c r="J655">
        <v>4</v>
      </c>
      <c r="K655">
        <v>4</v>
      </c>
      <c r="L655" t="str" cm="1">
        <f t="array" ref="L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5">
        <f>_xlfn.XLOOKUP("LOADINGSPEEDDEF_"&amp;PROPERTIES[[#This Row],[LOADINGSPEED]],LOADINGSPEEDDEF[TYPE],LOADINGSPEEDDEF[SPEED])</f>
        <v>20</v>
      </c>
      <c r="N655" cm="1">
        <f t="array" ref="N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5">
        <f>IF(ISNUMBER(SEARCH("passenger",PROPERTIES[[#This Row],[CARGODEF]])),1,0)</f>
        <v>0</v>
      </c>
      <c r="P655" s="29">
        <v>5</v>
      </c>
      <c r="Q655">
        <v>0</v>
      </c>
      <c r="R655">
        <v>55</v>
      </c>
      <c r="S655" s="26">
        <v>0</v>
      </c>
      <c r="T655" s="25">
        <f>IFERROR(PROPERTIES[[#This Row],[TE_STARTING_KN]]/(PROPERTIES[[#This Row],[WEIGHT]]*9.81),0)</f>
        <v>0</v>
      </c>
      <c r="U655" s="25">
        <v>0.3</v>
      </c>
      <c r="V655" s="22">
        <f>ROUND(IF(IFERROR(PROPERTIES[[#This Row],[TE_COEFFICIENT_CALC]],0)=0,PROPERTIES[[#This Row],[TE_COEFFICIENT_MANUAL]],PROPERTIES[[#This Row],[TE_COEFFICIENT_CALC]]),3)</f>
        <v>0.3</v>
      </c>
      <c r="W655" s="10" cm="1">
        <f t="array" ref="W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5" s="32">
        <v>0</v>
      </c>
      <c r="Y655" s="8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8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9" t="b">
        <v>0</v>
      </c>
      <c r="AY655"/>
      <c r="AZ655"/>
      <c r="BA655"/>
    </row>
    <row r="656" spans="1:53">
      <c r="A656" s="2" t="s">
        <v>718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6" t="str">
        <f>_xlfn.XLOOKUP(PROPERTIES[[#This Row],[COUNTRY]],COUNTRIES[COUNTRY_DESCRIPTION],COUNTRIES[COUNTRY_LABEL],"")</f>
        <v/>
      </c>
      <c r="G656" t="str" cm="1">
        <f t="array" ref="G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6" t="s">
        <v>591</v>
      </c>
      <c r="I656">
        <v>20</v>
      </c>
      <c r="J656">
        <v>4</v>
      </c>
      <c r="K656">
        <v>4</v>
      </c>
      <c r="L656" t="str" cm="1">
        <f t="array" ref="L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6">
        <f>_xlfn.XLOOKUP("LOADINGSPEEDDEF_"&amp;PROPERTIES[[#This Row],[LOADINGSPEED]],LOADINGSPEEDDEF[TYPE],LOADINGSPEEDDEF[SPEED])</f>
        <v>20</v>
      </c>
      <c r="N656" cm="1">
        <f t="array" ref="N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6">
        <f>IF(ISNUMBER(SEARCH("passenger",PROPERTIES[[#This Row],[CARGODEF]])),1,0)</f>
        <v>0</v>
      </c>
      <c r="P656" s="29">
        <v>6</v>
      </c>
      <c r="Q656">
        <v>0</v>
      </c>
      <c r="R656">
        <v>55</v>
      </c>
      <c r="S656" s="26">
        <v>0</v>
      </c>
      <c r="T656" s="25">
        <f>IFERROR(PROPERTIES[[#This Row],[TE_STARTING_KN]]/(PROPERTIES[[#This Row],[WEIGHT]]*9.81),0)</f>
        <v>0</v>
      </c>
      <c r="U656" s="25">
        <v>0.3</v>
      </c>
      <c r="V656" s="22">
        <f>ROUND(IF(IFERROR(PROPERTIES[[#This Row],[TE_COEFFICIENT_CALC]],0)=0,PROPERTIES[[#This Row],[TE_COEFFICIENT_MANUAL]],PROPERTIES[[#This Row],[TE_COEFFICIENT_CALC]]),3)</f>
        <v>0.3</v>
      </c>
      <c r="W656" s="10" cm="1">
        <f t="array" ref="W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6" s="32">
        <v>0</v>
      </c>
      <c r="Y656" s="8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8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9" t="b">
        <v>0</v>
      </c>
      <c r="AY656"/>
      <c r="AZ656"/>
      <c r="BA656"/>
    </row>
    <row r="657" spans="1:53">
      <c r="A657" s="2" t="s">
        <v>719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7" t="str">
        <f>_xlfn.XLOOKUP(PROPERTIES[[#This Row],[COUNTRY]],COUNTRIES[COUNTRY_DESCRIPTION],COUNTRIES[COUNTRY_LABEL],"")</f>
        <v/>
      </c>
      <c r="G657" t="str" cm="1">
        <f t="array" ref="G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7" t="s">
        <v>601</v>
      </c>
      <c r="I657">
        <v>10</v>
      </c>
      <c r="J657">
        <v>4</v>
      </c>
      <c r="K657">
        <v>4</v>
      </c>
      <c r="L657" t="str" cm="1">
        <f t="array" ref="L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7">
        <f>_xlfn.XLOOKUP("LOADINGSPEEDDEF_"&amp;PROPERTIES[[#This Row],[LOADINGSPEED]],LOADINGSPEEDDEF[TYPE],LOADINGSPEEDDEF[SPEED])</f>
        <v>20</v>
      </c>
      <c r="N657" cm="1">
        <f t="array" ref="N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7">
        <f>IF(ISNUMBER(SEARCH("passenger",PROPERTIES[[#This Row],[CARGODEF]])),1,0)</f>
        <v>0</v>
      </c>
      <c r="P657" s="29">
        <v>7</v>
      </c>
      <c r="Q657">
        <v>0</v>
      </c>
      <c r="R657">
        <v>55</v>
      </c>
      <c r="S657" s="26">
        <v>0</v>
      </c>
      <c r="T657" s="25">
        <f>IFERROR(PROPERTIES[[#This Row],[TE_STARTING_KN]]/(PROPERTIES[[#This Row],[WEIGHT]]*9.81),0)</f>
        <v>0</v>
      </c>
      <c r="U657" s="25">
        <v>0.3</v>
      </c>
      <c r="V657" s="22">
        <f>ROUND(IF(IFERROR(PROPERTIES[[#This Row],[TE_COEFFICIENT_CALC]],0)=0,PROPERTIES[[#This Row],[TE_COEFFICIENT_MANUAL]],PROPERTIES[[#This Row],[TE_COEFFICIENT_CALC]]),3)</f>
        <v>0.3</v>
      </c>
      <c r="W657" s="10" cm="1">
        <f t="array" ref="W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7" s="32">
        <v>0</v>
      </c>
      <c r="Y657" s="8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8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9" t="b">
        <v>0</v>
      </c>
      <c r="AY657"/>
      <c r="AZ657"/>
      <c r="BA657"/>
    </row>
    <row r="658" spans="1:53">
      <c r="A658" s="2" t="s">
        <v>720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8" t="str">
        <f>_xlfn.XLOOKUP(PROPERTIES[[#This Row],[COUNTRY]],COUNTRIES[COUNTRY_DESCRIPTION],COUNTRIES[COUNTRY_LABEL],"")</f>
        <v/>
      </c>
      <c r="G658" t="str" cm="1">
        <f t="array" ref="G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8" t="s">
        <v>664</v>
      </c>
      <c r="I658">
        <v>18</v>
      </c>
      <c r="J658">
        <v>4</v>
      </c>
      <c r="K658">
        <v>4</v>
      </c>
      <c r="L658" t="str" cm="1">
        <f t="array" ref="L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8">
        <f>_xlfn.XLOOKUP("LOADINGSPEEDDEF_"&amp;PROPERTIES[[#This Row],[LOADINGSPEED]],LOADINGSPEEDDEF[TYPE],LOADINGSPEEDDEF[SPEED])</f>
        <v>20</v>
      </c>
      <c r="N658" cm="1">
        <f t="array" ref="N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8">
        <f>IF(ISNUMBER(SEARCH("passenger",PROPERTIES[[#This Row],[CARGODEF]])),1,0)</f>
        <v>0</v>
      </c>
      <c r="P658" s="29">
        <v>6</v>
      </c>
      <c r="Q658">
        <v>0</v>
      </c>
      <c r="R658">
        <v>55</v>
      </c>
      <c r="S658" s="26">
        <v>0</v>
      </c>
      <c r="T658" s="25">
        <f>IFERROR(PROPERTIES[[#This Row],[TE_STARTING_KN]]/(PROPERTIES[[#This Row],[WEIGHT]]*9.81),0)</f>
        <v>0</v>
      </c>
      <c r="U658" s="25">
        <v>0.3</v>
      </c>
      <c r="V658" s="22">
        <f>ROUND(IF(IFERROR(PROPERTIES[[#This Row],[TE_COEFFICIENT_CALC]],0)=0,PROPERTIES[[#This Row],[TE_COEFFICIENT_MANUAL]],PROPERTIES[[#This Row],[TE_COEFFICIENT_CALC]]),3)</f>
        <v>0.3</v>
      </c>
      <c r="W658" s="10" cm="1">
        <f t="array" ref="W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8" s="32">
        <v>0</v>
      </c>
      <c r="Y658" s="8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8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9" t="b">
        <v>0</v>
      </c>
      <c r="AY658"/>
      <c r="AZ658"/>
      <c r="BA658"/>
    </row>
    <row r="659" spans="1:53">
      <c r="A659" s="2" t="s">
        <v>792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9" t="str">
        <f>_xlfn.XLOOKUP(PROPERTIES[[#This Row],[COUNTRY]],COUNTRIES[COUNTRY_DESCRIPTION],COUNTRIES[COUNTRY_LABEL],"")</f>
        <v/>
      </c>
      <c r="G659" t="str" cm="1">
        <f t="array" ref="G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9" t="s">
        <v>595</v>
      </c>
      <c r="I659">
        <v>30</v>
      </c>
      <c r="J659">
        <v>5</v>
      </c>
      <c r="K659">
        <v>5</v>
      </c>
      <c r="L659" t="str" cm="1">
        <f t="array" ref="L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9">
        <f>_xlfn.XLOOKUP("LOADINGSPEEDDEF_"&amp;PROPERTIES[[#This Row],[LOADINGSPEED]],LOADINGSPEEDDEF[TYPE],LOADINGSPEEDDEF[SPEED])</f>
        <v>20</v>
      </c>
      <c r="N659" cm="1">
        <f t="array" ref="N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9">
        <f>IF(ISNUMBER(SEARCH("passenger",PROPERTIES[[#This Row],[CARGODEF]])),1,0)</f>
        <v>0</v>
      </c>
      <c r="P659" s="29">
        <v>11</v>
      </c>
      <c r="Q659">
        <v>0</v>
      </c>
      <c r="R659">
        <v>70</v>
      </c>
      <c r="S659" s="26">
        <v>0</v>
      </c>
      <c r="T659" s="25">
        <f>IFERROR(PROPERTIES[[#This Row],[TE_STARTING_KN]]/(PROPERTIES[[#This Row],[WEIGHT]]*9.81),0)</f>
        <v>0</v>
      </c>
      <c r="U659" s="25">
        <v>0.3</v>
      </c>
      <c r="V659" s="22">
        <f>ROUND(IF(IFERROR(PROPERTIES[[#This Row],[TE_COEFFICIENT_CALC]],0)=0,PROPERTIES[[#This Row],[TE_COEFFICIENT_MANUAL]],PROPERTIES[[#This Row],[TE_COEFFICIENT_CALC]]),3)</f>
        <v>0.3</v>
      </c>
      <c r="W659" s="10" cm="1">
        <f t="array" ref="W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9" s="32">
        <v>0</v>
      </c>
      <c r="Y659" s="8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8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9" t="b">
        <v>0</v>
      </c>
      <c r="AY659"/>
      <c r="AZ659"/>
      <c r="BA659"/>
    </row>
    <row r="660" spans="1:53">
      <c r="A660" s="2" t="s">
        <v>793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0" t="str">
        <f>_xlfn.XLOOKUP(PROPERTIES[[#This Row],[COUNTRY]],COUNTRIES[COUNTRY_DESCRIPTION],COUNTRIES[COUNTRY_LABEL],"")</f>
        <v/>
      </c>
      <c r="G660" t="str" cm="1">
        <f t="array" ref="G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0" t="s">
        <v>2911</v>
      </c>
      <c r="I660">
        <v>25</v>
      </c>
      <c r="J660">
        <v>5</v>
      </c>
      <c r="K660">
        <v>5</v>
      </c>
      <c r="L660" t="str" cm="1">
        <f t="array" ref="L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0">
        <f>_xlfn.XLOOKUP("LOADINGSPEEDDEF_"&amp;PROPERTIES[[#This Row],[LOADINGSPEED]],LOADINGSPEEDDEF[TYPE],LOADINGSPEEDDEF[SPEED])</f>
        <v>20</v>
      </c>
      <c r="N660" cm="1">
        <f t="array" ref="N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0">
        <f>IF(ISNUMBER(SEARCH("passenger",PROPERTIES[[#This Row],[CARGODEF]])),1,0)</f>
        <v>0</v>
      </c>
      <c r="P660" s="29">
        <v>12</v>
      </c>
      <c r="Q660">
        <v>0</v>
      </c>
      <c r="R660">
        <v>90</v>
      </c>
      <c r="S660" s="26">
        <v>0</v>
      </c>
      <c r="T660" s="25">
        <f>IFERROR(PROPERTIES[[#This Row],[TE_STARTING_KN]]/(PROPERTIES[[#This Row],[WEIGHT]]*9.81),0)</f>
        <v>0</v>
      </c>
      <c r="U660" s="25">
        <v>0.3</v>
      </c>
      <c r="V660" s="22">
        <f>ROUND(IF(IFERROR(PROPERTIES[[#This Row],[TE_COEFFICIENT_CALC]],0)=0,PROPERTIES[[#This Row],[TE_COEFFICIENT_MANUAL]],PROPERTIES[[#This Row],[TE_COEFFICIENT_CALC]]),3)</f>
        <v>0.3</v>
      </c>
      <c r="W660" s="10" cm="1">
        <f t="array" ref="W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0" s="32">
        <v>0</v>
      </c>
      <c r="Y660" s="8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8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9" t="b">
        <v>0</v>
      </c>
      <c r="AY660"/>
      <c r="AZ660"/>
      <c r="BA660"/>
    </row>
    <row r="661" spans="1:53">
      <c r="A661" s="2" t="s">
        <v>794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1" t="str">
        <f>_xlfn.XLOOKUP(PROPERTIES[[#This Row],[COUNTRY]],COUNTRIES[COUNTRY_DESCRIPTION],COUNTRIES[COUNTRY_LABEL],"")</f>
        <v/>
      </c>
      <c r="G661" t="str" cm="1">
        <f t="array" ref="G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1" t="s">
        <v>2914</v>
      </c>
      <c r="I661">
        <v>25</v>
      </c>
      <c r="J661">
        <v>5</v>
      </c>
      <c r="K661">
        <v>5</v>
      </c>
      <c r="L661" t="str" cm="1">
        <f t="array" ref="L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1">
        <f>_xlfn.XLOOKUP("LOADINGSPEEDDEF_"&amp;PROPERTIES[[#This Row],[LOADINGSPEED]],LOADINGSPEEDDEF[TYPE],LOADINGSPEEDDEF[SPEED])</f>
        <v>20</v>
      </c>
      <c r="N661" cm="1">
        <f t="array" ref="N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1">
        <f>IF(ISNUMBER(SEARCH("passenger",PROPERTIES[[#This Row],[CARGODEF]])),1,0)</f>
        <v>0</v>
      </c>
      <c r="P661" s="29">
        <v>12</v>
      </c>
      <c r="Q661">
        <v>0</v>
      </c>
      <c r="R661">
        <v>90</v>
      </c>
      <c r="S661" s="26">
        <v>0</v>
      </c>
      <c r="T661" s="25">
        <f>IFERROR(PROPERTIES[[#This Row],[TE_STARTING_KN]]/(PROPERTIES[[#This Row],[WEIGHT]]*9.81),0)</f>
        <v>0</v>
      </c>
      <c r="U661" s="25">
        <v>0.3</v>
      </c>
      <c r="V661" s="22">
        <f>ROUND(IF(IFERROR(PROPERTIES[[#This Row],[TE_COEFFICIENT_CALC]],0)=0,PROPERTIES[[#This Row],[TE_COEFFICIENT_MANUAL]],PROPERTIES[[#This Row],[TE_COEFFICIENT_CALC]]),3)</f>
        <v>0.3</v>
      </c>
      <c r="W661" s="10" cm="1">
        <f t="array" ref="W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1" s="32">
        <v>0</v>
      </c>
      <c r="Y661" s="8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8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9" t="b">
        <v>0</v>
      </c>
      <c r="AY661"/>
      <c r="AZ661"/>
      <c r="BA661"/>
    </row>
    <row r="662" spans="1:53">
      <c r="A662" s="2" t="s">
        <v>795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2" t="str">
        <f>_xlfn.XLOOKUP(PROPERTIES[[#This Row],[COUNTRY]],COUNTRIES[COUNTRY_DESCRIPTION],COUNTRIES[COUNTRY_LABEL],"")</f>
        <v/>
      </c>
      <c r="G662" t="str" cm="1">
        <f t="array" ref="G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2" t="s">
        <v>601</v>
      </c>
      <c r="I662">
        <v>20</v>
      </c>
      <c r="J662">
        <v>5</v>
      </c>
      <c r="K662">
        <v>5</v>
      </c>
      <c r="L662" t="str" cm="1">
        <f t="array" ref="L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2">
        <f>_xlfn.XLOOKUP("LOADINGSPEEDDEF_"&amp;PROPERTIES[[#This Row],[LOADINGSPEED]],LOADINGSPEEDDEF[TYPE],LOADINGSPEEDDEF[SPEED])</f>
        <v>20</v>
      </c>
      <c r="N662" cm="1">
        <f t="array" ref="N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2">
        <f>IF(ISNUMBER(SEARCH("passenger",PROPERTIES[[#This Row],[CARGODEF]])),1,0)</f>
        <v>0</v>
      </c>
      <c r="P662" s="29">
        <v>14</v>
      </c>
      <c r="Q662">
        <v>0</v>
      </c>
      <c r="R662">
        <v>70</v>
      </c>
      <c r="S662" s="26">
        <v>0</v>
      </c>
      <c r="T662" s="25">
        <f>IFERROR(PROPERTIES[[#This Row],[TE_STARTING_KN]]/(PROPERTIES[[#This Row],[WEIGHT]]*9.81),0)</f>
        <v>0</v>
      </c>
      <c r="U662" s="25">
        <v>0.3</v>
      </c>
      <c r="V662" s="22">
        <f>ROUND(IF(IFERROR(PROPERTIES[[#This Row],[TE_COEFFICIENT_CALC]],0)=0,PROPERTIES[[#This Row],[TE_COEFFICIENT_MANUAL]],PROPERTIES[[#This Row],[TE_COEFFICIENT_CALC]]),3)</f>
        <v>0.3</v>
      </c>
      <c r="W662" s="10" cm="1">
        <f t="array" ref="W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2" s="32">
        <v>0</v>
      </c>
      <c r="Y662" s="8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8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9" t="b">
        <v>0</v>
      </c>
      <c r="AY662"/>
      <c r="AZ662"/>
      <c r="BA662"/>
    </row>
    <row r="663" spans="1:53">
      <c r="A663" s="2" t="s">
        <v>796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3" t="str">
        <f>_xlfn.XLOOKUP(PROPERTIES[[#This Row],[COUNTRY]],COUNTRIES[COUNTRY_DESCRIPTION],COUNTRIES[COUNTRY_LABEL],"")</f>
        <v/>
      </c>
      <c r="G663" t="str" cm="1">
        <f t="array" ref="G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3" t="s">
        <v>664</v>
      </c>
      <c r="I663">
        <v>26</v>
      </c>
      <c r="J663">
        <v>5</v>
      </c>
      <c r="K663">
        <v>5</v>
      </c>
      <c r="L663" t="str" cm="1">
        <f t="array" ref="L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3">
        <f>_xlfn.XLOOKUP("LOADINGSPEEDDEF_"&amp;PROPERTIES[[#This Row],[LOADINGSPEED]],LOADINGSPEEDDEF[TYPE],LOADINGSPEEDDEF[SPEED])</f>
        <v>20</v>
      </c>
      <c r="N663" cm="1">
        <f t="array" ref="N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3">
        <f>IF(ISNUMBER(SEARCH("passenger",PROPERTIES[[#This Row],[CARGODEF]])),1,0)</f>
        <v>0</v>
      </c>
      <c r="P663" s="29">
        <v>11</v>
      </c>
      <c r="Q663">
        <v>0</v>
      </c>
      <c r="R663">
        <v>70</v>
      </c>
      <c r="S663" s="26">
        <v>0</v>
      </c>
      <c r="T663" s="25">
        <f>IFERROR(PROPERTIES[[#This Row],[TE_STARTING_KN]]/(PROPERTIES[[#This Row],[WEIGHT]]*9.81),0)</f>
        <v>0</v>
      </c>
      <c r="U663" s="25">
        <v>0.3</v>
      </c>
      <c r="V663" s="22">
        <f>ROUND(IF(IFERROR(PROPERTIES[[#This Row],[TE_COEFFICIENT_CALC]],0)=0,PROPERTIES[[#This Row],[TE_COEFFICIENT_MANUAL]],PROPERTIES[[#This Row],[TE_COEFFICIENT_CALC]]),3)</f>
        <v>0.3</v>
      </c>
      <c r="W663" s="10" cm="1">
        <f t="array" ref="W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3" s="32">
        <v>0</v>
      </c>
      <c r="Y663" s="8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8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9" t="b">
        <v>0</v>
      </c>
      <c r="AY663"/>
      <c r="AZ663"/>
      <c r="BA663"/>
    </row>
    <row r="664" spans="1:53">
      <c r="A664" s="2" t="s">
        <v>797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4" t="str">
        <f>_xlfn.XLOOKUP(PROPERTIES[[#This Row],[COUNTRY]],COUNTRIES[COUNTRY_DESCRIPTION],COUNTRIES[COUNTRY_LABEL],"")</f>
        <v/>
      </c>
      <c r="G664" t="str" cm="1">
        <f t="array" ref="G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4" t="s">
        <v>599</v>
      </c>
      <c r="I664">
        <v>25</v>
      </c>
      <c r="J664">
        <v>5</v>
      </c>
      <c r="K664">
        <v>5</v>
      </c>
      <c r="L664" t="str" cm="1">
        <f t="array" ref="L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4">
        <f>_xlfn.XLOOKUP("LOADINGSPEEDDEF_"&amp;PROPERTIES[[#This Row],[LOADINGSPEED]],LOADINGSPEEDDEF[TYPE],LOADINGSPEEDDEF[SPEED])</f>
        <v>20</v>
      </c>
      <c r="N664" cm="1">
        <f t="array" ref="N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4">
        <f>IF(ISNUMBER(SEARCH("passenger",PROPERTIES[[#This Row],[CARGODEF]])),1,0)</f>
        <v>0</v>
      </c>
      <c r="P664" s="29">
        <v>14</v>
      </c>
      <c r="Q664">
        <v>0</v>
      </c>
      <c r="R664">
        <v>70</v>
      </c>
      <c r="S664" s="26">
        <v>0</v>
      </c>
      <c r="T664" s="25">
        <f>IFERROR(PROPERTIES[[#This Row],[TE_STARTING_KN]]/(PROPERTIES[[#This Row],[WEIGHT]]*9.81),0)</f>
        <v>0</v>
      </c>
      <c r="U664" s="25">
        <v>0.3</v>
      </c>
      <c r="V664" s="22">
        <f>ROUND(IF(IFERROR(PROPERTIES[[#This Row],[TE_COEFFICIENT_CALC]],0)=0,PROPERTIES[[#This Row],[TE_COEFFICIENT_MANUAL]],PROPERTIES[[#This Row],[TE_COEFFICIENT_CALC]]),3)</f>
        <v>0.3</v>
      </c>
      <c r="W664" s="10" cm="1">
        <f t="array" ref="W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4" s="32">
        <v>0</v>
      </c>
      <c r="Y664" s="8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8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9" t="b">
        <v>0</v>
      </c>
      <c r="AY664"/>
      <c r="AZ664"/>
      <c r="BA664"/>
    </row>
    <row r="665" spans="1:53">
      <c r="A665" s="2" t="s">
        <v>798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5" t="str">
        <f>_xlfn.XLOOKUP(PROPERTIES[[#This Row],[COUNTRY]],COUNTRIES[COUNTRY_DESCRIPTION],COUNTRIES[COUNTRY_LABEL],"")</f>
        <v/>
      </c>
      <c r="G665" t="str" cm="1">
        <f t="array" ref="G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5" t="s">
        <v>598</v>
      </c>
      <c r="I665">
        <v>30</v>
      </c>
      <c r="J665">
        <v>5</v>
      </c>
      <c r="K665">
        <v>5</v>
      </c>
      <c r="L665" t="str" cm="1">
        <f t="array" ref="L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5">
        <f>_xlfn.XLOOKUP("LOADINGSPEEDDEF_"&amp;PROPERTIES[[#This Row],[LOADINGSPEED]],LOADINGSPEEDDEF[TYPE],LOADINGSPEEDDEF[SPEED])</f>
        <v>20</v>
      </c>
      <c r="N665" cm="1">
        <f t="array" ref="N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5">
        <f>IF(ISNUMBER(SEARCH("passenger",PROPERTIES[[#This Row],[CARGODEF]])),1,0)</f>
        <v>0</v>
      </c>
      <c r="P665" s="29">
        <v>12</v>
      </c>
      <c r="Q665">
        <v>0</v>
      </c>
      <c r="R665">
        <v>70</v>
      </c>
      <c r="S665" s="26">
        <v>0</v>
      </c>
      <c r="T665" s="25">
        <f>IFERROR(PROPERTIES[[#This Row],[TE_STARTING_KN]]/(PROPERTIES[[#This Row],[WEIGHT]]*9.81),0)</f>
        <v>0</v>
      </c>
      <c r="U665" s="25">
        <v>0.3</v>
      </c>
      <c r="V665" s="22">
        <f>ROUND(IF(IFERROR(PROPERTIES[[#This Row],[TE_COEFFICIENT_CALC]],0)=0,PROPERTIES[[#This Row],[TE_COEFFICIENT_MANUAL]],PROPERTIES[[#This Row],[TE_COEFFICIENT_CALC]]),3)</f>
        <v>0.3</v>
      </c>
      <c r="W665" s="10" cm="1">
        <f t="array" ref="W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5" s="32">
        <v>0</v>
      </c>
      <c r="Y665" s="8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8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9" t="b">
        <v>0</v>
      </c>
      <c r="AY665"/>
      <c r="AZ665"/>
      <c r="BA665"/>
    </row>
    <row r="666" spans="1:53">
      <c r="A666" s="2" t="s">
        <v>799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6" t="str">
        <f>_xlfn.XLOOKUP(PROPERTIES[[#This Row],[COUNTRY]],COUNTRIES[COUNTRY_DESCRIPTION],COUNTRIES[COUNTRY_LABEL],"")</f>
        <v/>
      </c>
      <c r="G666" t="str" cm="1">
        <f t="array" ref="G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6" t="s">
        <v>595</v>
      </c>
      <c r="I666">
        <v>40</v>
      </c>
      <c r="J666">
        <v>6</v>
      </c>
      <c r="K666">
        <v>6</v>
      </c>
      <c r="L666" t="str" cm="1">
        <f t="array" ref="L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6">
        <f>_xlfn.XLOOKUP("LOADINGSPEEDDEF_"&amp;PROPERTIES[[#This Row],[LOADINGSPEED]],LOADINGSPEEDDEF[TYPE],LOADINGSPEEDDEF[SPEED])</f>
        <v>20</v>
      </c>
      <c r="N666" cm="1">
        <f t="array" ref="N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6">
        <f>IF(ISNUMBER(SEARCH("passenger",PROPERTIES[[#This Row],[CARGODEF]])),1,0)</f>
        <v>0</v>
      </c>
      <c r="P666" s="29">
        <v>21</v>
      </c>
      <c r="Q666">
        <v>0</v>
      </c>
      <c r="R666">
        <v>80</v>
      </c>
      <c r="S666" s="26">
        <v>0</v>
      </c>
      <c r="T666" s="25">
        <f>IFERROR(PROPERTIES[[#This Row],[TE_STARTING_KN]]/(PROPERTIES[[#This Row],[WEIGHT]]*9.81),0)</f>
        <v>0</v>
      </c>
      <c r="U666" s="25">
        <v>0.3</v>
      </c>
      <c r="V666" s="22">
        <f>ROUND(IF(IFERROR(PROPERTIES[[#This Row],[TE_COEFFICIENT_CALC]],0)=0,PROPERTIES[[#This Row],[TE_COEFFICIENT_MANUAL]],PROPERTIES[[#This Row],[TE_COEFFICIENT_CALC]]),3)</f>
        <v>0.3</v>
      </c>
      <c r="W666" s="10" cm="1">
        <f t="array" ref="W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6" s="32">
        <v>0</v>
      </c>
      <c r="Y666" s="8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8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9" t="b">
        <v>0</v>
      </c>
      <c r="AY666"/>
      <c r="AZ666"/>
      <c r="BA666"/>
    </row>
    <row r="667" spans="1:53">
      <c r="A667" s="2" t="s">
        <v>800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7" t="str">
        <f>_xlfn.XLOOKUP(PROPERTIES[[#This Row],[COUNTRY]],COUNTRIES[COUNTRY_DESCRIPTION],COUNTRIES[COUNTRY_LABEL],"")</f>
        <v/>
      </c>
      <c r="G667" t="str" cm="1">
        <f t="array" ref="G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7" t="s">
        <v>2911</v>
      </c>
      <c r="I667">
        <v>40</v>
      </c>
      <c r="J667">
        <v>6</v>
      </c>
      <c r="K667">
        <v>6</v>
      </c>
      <c r="L667" t="str" cm="1">
        <f t="array" ref="L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7">
        <f>_xlfn.XLOOKUP("LOADINGSPEEDDEF_"&amp;PROPERTIES[[#This Row],[LOADINGSPEED]],LOADINGSPEEDDEF[TYPE],LOADINGSPEEDDEF[SPEED])</f>
        <v>20</v>
      </c>
      <c r="N667" cm="1">
        <f t="array" ref="N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7">
        <f>IF(ISNUMBER(SEARCH("passenger",PROPERTIES[[#This Row],[CARGODEF]])),1,0)</f>
        <v>0</v>
      </c>
      <c r="P667" s="29">
        <v>23</v>
      </c>
      <c r="Q667">
        <v>0</v>
      </c>
      <c r="R667">
        <v>100</v>
      </c>
      <c r="S667" s="26">
        <v>0</v>
      </c>
      <c r="T667" s="25">
        <f>IFERROR(PROPERTIES[[#This Row],[TE_STARTING_KN]]/(PROPERTIES[[#This Row],[WEIGHT]]*9.81),0)</f>
        <v>0</v>
      </c>
      <c r="U667" s="25">
        <v>0.3</v>
      </c>
      <c r="V667" s="22">
        <f>ROUND(IF(IFERROR(PROPERTIES[[#This Row],[TE_COEFFICIENT_CALC]],0)=0,PROPERTIES[[#This Row],[TE_COEFFICIENT_MANUAL]],PROPERTIES[[#This Row],[TE_COEFFICIENT_CALC]]),3)</f>
        <v>0.3</v>
      </c>
      <c r="W667" s="10" cm="1">
        <f t="array" ref="W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7" s="32">
        <v>0</v>
      </c>
      <c r="Y667" s="8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8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9" t="b">
        <v>0</v>
      </c>
      <c r="AY667"/>
      <c r="AZ667"/>
      <c r="BA667"/>
    </row>
    <row r="668" spans="1:53">
      <c r="A668" s="2" t="s">
        <v>801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8" t="str">
        <f>_xlfn.XLOOKUP(PROPERTIES[[#This Row],[COUNTRY]],COUNTRIES[COUNTRY_DESCRIPTION],COUNTRIES[COUNTRY_LABEL],"")</f>
        <v/>
      </c>
      <c r="G668" t="str" cm="1">
        <f t="array" ref="G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8" t="s">
        <v>2914</v>
      </c>
      <c r="I668">
        <v>40</v>
      </c>
      <c r="J668">
        <v>6</v>
      </c>
      <c r="K668">
        <v>6</v>
      </c>
      <c r="L668" t="str" cm="1">
        <f t="array" ref="L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8">
        <f>_xlfn.XLOOKUP("LOADINGSPEEDDEF_"&amp;PROPERTIES[[#This Row],[LOADINGSPEED]],LOADINGSPEEDDEF[TYPE],LOADINGSPEEDDEF[SPEED])</f>
        <v>20</v>
      </c>
      <c r="N668" cm="1">
        <f t="array" ref="N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8">
        <f>IF(ISNUMBER(SEARCH("passenger",PROPERTIES[[#This Row],[CARGODEF]])),1,0)</f>
        <v>0</v>
      </c>
      <c r="P668" s="29">
        <v>23</v>
      </c>
      <c r="Q668">
        <v>0</v>
      </c>
      <c r="R668">
        <v>100</v>
      </c>
      <c r="S668" s="26">
        <v>0</v>
      </c>
      <c r="T668" s="25">
        <f>IFERROR(PROPERTIES[[#This Row],[TE_STARTING_KN]]/(PROPERTIES[[#This Row],[WEIGHT]]*9.81),0)</f>
        <v>0</v>
      </c>
      <c r="U668" s="25">
        <v>0.3</v>
      </c>
      <c r="V668" s="22">
        <f>ROUND(IF(IFERROR(PROPERTIES[[#This Row],[TE_COEFFICIENT_CALC]],0)=0,PROPERTIES[[#This Row],[TE_COEFFICIENT_MANUAL]],PROPERTIES[[#This Row],[TE_COEFFICIENT_CALC]]),3)</f>
        <v>0.3</v>
      </c>
      <c r="W668" s="10" cm="1">
        <f t="array" ref="W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8" s="32">
        <v>0</v>
      </c>
      <c r="Y668" s="8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8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9" t="b">
        <v>0</v>
      </c>
      <c r="AY668"/>
      <c r="AZ668"/>
      <c r="BA668"/>
    </row>
    <row r="669" spans="1:53">
      <c r="A669" s="2" t="s">
        <v>802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9" t="str">
        <f>_xlfn.XLOOKUP(PROPERTIES[[#This Row],[COUNTRY]],COUNTRIES[COUNTRY_DESCRIPTION],COUNTRIES[COUNTRY_LABEL],"")</f>
        <v/>
      </c>
      <c r="G669" t="str" cm="1">
        <f t="array" ref="G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9" t="s">
        <v>601</v>
      </c>
      <c r="I669">
        <v>35</v>
      </c>
      <c r="J669">
        <v>6</v>
      </c>
      <c r="K669">
        <v>6</v>
      </c>
      <c r="L669" t="str" cm="1">
        <f t="array" ref="L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9">
        <f>_xlfn.XLOOKUP("LOADINGSPEEDDEF_"&amp;PROPERTIES[[#This Row],[LOADINGSPEED]],LOADINGSPEEDDEF[TYPE],LOADINGSPEEDDEF[SPEED])</f>
        <v>20</v>
      </c>
      <c r="N669" cm="1">
        <f t="array" ref="N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9">
        <f>IF(ISNUMBER(SEARCH("passenger",PROPERTIES[[#This Row],[CARGODEF]])),1,0)</f>
        <v>0</v>
      </c>
      <c r="P669" s="29">
        <v>20</v>
      </c>
      <c r="Q669">
        <v>0</v>
      </c>
      <c r="R669">
        <v>80</v>
      </c>
      <c r="S669" s="26">
        <v>0</v>
      </c>
      <c r="T669" s="25">
        <f>IFERROR(PROPERTIES[[#This Row],[TE_STARTING_KN]]/(PROPERTIES[[#This Row],[WEIGHT]]*9.81),0)</f>
        <v>0</v>
      </c>
      <c r="U669" s="25">
        <v>0.3</v>
      </c>
      <c r="V669" s="22">
        <f>ROUND(IF(IFERROR(PROPERTIES[[#This Row],[TE_COEFFICIENT_CALC]],0)=0,PROPERTIES[[#This Row],[TE_COEFFICIENT_MANUAL]],PROPERTIES[[#This Row],[TE_COEFFICIENT_CALC]]),3)</f>
        <v>0.3</v>
      </c>
      <c r="W669" s="10" cm="1">
        <f t="array" ref="W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9" s="32">
        <v>0</v>
      </c>
      <c r="Y669" s="8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8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9" t="b">
        <v>0</v>
      </c>
      <c r="AY669"/>
      <c r="AZ669"/>
      <c r="BA669"/>
    </row>
    <row r="670" spans="1:53">
      <c r="A670" s="2" t="s">
        <v>803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0" t="str">
        <f>_xlfn.XLOOKUP(PROPERTIES[[#This Row],[COUNTRY]],COUNTRIES[COUNTRY_DESCRIPTION],COUNTRIES[COUNTRY_LABEL],"")</f>
        <v/>
      </c>
      <c r="G670" t="str" cm="1">
        <f t="array" ref="G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0" t="s">
        <v>664</v>
      </c>
      <c r="I670">
        <v>35</v>
      </c>
      <c r="J670">
        <v>6</v>
      </c>
      <c r="K670">
        <v>6</v>
      </c>
      <c r="L670" t="str" cm="1">
        <f t="array" ref="L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0">
        <f>_xlfn.XLOOKUP("LOADINGSPEEDDEF_"&amp;PROPERTIES[[#This Row],[LOADINGSPEED]],LOADINGSPEEDDEF[TYPE],LOADINGSPEEDDEF[SPEED])</f>
        <v>20</v>
      </c>
      <c r="N670" cm="1">
        <f t="array" ref="N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0">
        <f>IF(ISNUMBER(SEARCH("passenger",PROPERTIES[[#This Row],[CARGODEF]])),1,0)</f>
        <v>0</v>
      </c>
      <c r="P670" s="29">
        <v>22</v>
      </c>
      <c r="Q670">
        <v>0</v>
      </c>
      <c r="R670">
        <v>80</v>
      </c>
      <c r="S670" s="26">
        <v>0</v>
      </c>
      <c r="T670" s="25">
        <f>IFERROR(PROPERTIES[[#This Row],[TE_STARTING_KN]]/(PROPERTIES[[#This Row],[WEIGHT]]*9.81),0)</f>
        <v>0</v>
      </c>
      <c r="U670" s="25">
        <v>0.3</v>
      </c>
      <c r="V670" s="22">
        <f>ROUND(IF(IFERROR(PROPERTIES[[#This Row],[TE_COEFFICIENT_CALC]],0)=0,PROPERTIES[[#This Row],[TE_COEFFICIENT_MANUAL]],PROPERTIES[[#This Row],[TE_COEFFICIENT_CALC]]),3)</f>
        <v>0.3</v>
      </c>
      <c r="W670" s="10" cm="1">
        <f t="array" ref="W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0" s="32">
        <v>0</v>
      </c>
      <c r="Y670" s="8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8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9" t="b">
        <v>0</v>
      </c>
      <c r="AY670"/>
      <c r="AZ670"/>
      <c r="BA670"/>
    </row>
    <row r="671" spans="1:53">
      <c r="A671" s="2" t="s">
        <v>804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1" t="str">
        <f>_xlfn.XLOOKUP(PROPERTIES[[#This Row],[COUNTRY]],COUNTRIES[COUNTRY_DESCRIPTION],COUNTRIES[COUNTRY_LABEL],"")</f>
        <v/>
      </c>
      <c r="G671" t="str" cm="1">
        <f t="array" ref="G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1" t="s">
        <v>2913</v>
      </c>
      <c r="I671">
        <v>40</v>
      </c>
      <c r="J671">
        <v>6</v>
      </c>
      <c r="K671">
        <v>6</v>
      </c>
      <c r="L671" t="str" cm="1">
        <f t="array" ref="L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1">
        <f>_xlfn.XLOOKUP("LOADINGSPEEDDEF_"&amp;PROPERTIES[[#This Row],[LOADINGSPEED]],LOADINGSPEEDDEF[TYPE],LOADINGSPEEDDEF[SPEED])</f>
        <v>20</v>
      </c>
      <c r="N671" cm="1">
        <f t="array" ref="N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1">
        <f>IF(ISNUMBER(SEARCH("passenger",PROPERTIES[[#This Row],[CARGODEF]])),1,0)</f>
        <v>0</v>
      </c>
      <c r="P671" s="29">
        <v>23</v>
      </c>
      <c r="Q671">
        <v>0</v>
      </c>
      <c r="R671">
        <v>80</v>
      </c>
      <c r="S671" s="26">
        <v>0</v>
      </c>
      <c r="T671" s="25">
        <f>IFERROR(PROPERTIES[[#This Row],[TE_STARTING_KN]]/(PROPERTIES[[#This Row],[WEIGHT]]*9.81),0)</f>
        <v>0</v>
      </c>
      <c r="U671" s="25">
        <v>0.3</v>
      </c>
      <c r="V671" s="22">
        <f>ROUND(IF(IFERROR(PROPERTIES[[#This Row],[TE_COEFFICIENT_CALC]],0)=0,PROPERTIES[[#This Row],[TE_COEFFICIENT_MANUAL]],PROPERTIES[[#This Row],[TE_COEFFICIENT_CALC]]),3)</f>
        <v>0.3</v>
      </c>
      <c r="W671" s="10" cm="1">
        <f t="array" ref="W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1" s="32">
        <v>0</v>
      </c>
      <c r="Y671" s="8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8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9" t="b">
        <v>0</v>
      </c>
      <c r="AY671"/>
      <c r="AZ671"/>
      <c r="BA671"/>
    </row>
    <row r="672" spans="1:53">
      <c r="A672" s="2" t="s">
        <v>805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2" t="str">
        <f>_xlfn.XLOOKUP(PROPERTIES[[#This Row],[COUNTRY]],COUNTRIES[COUNTRY_DESCRIPTION],COUNTRIES[COUNTRY_LABEL],"")</f>
        <v/>
      </c>
      <c r="G672" t="str" cm="1">
        <f t="array" ref="G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2" t="s">
        <v>2916</v>
      </c>
      <c r="I672">
        <v>40</v>
      </c>
      <c r="J672">
        <v>6</v>
      </c>
      <c r="K672">
        <v>6</v>
      </c>
      <c r="L672" t="str" cm="1">
        <f t="array" ref="L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2">
        <f>_xlfn.XLOOKUP("LOADINGSPEEDDEF_"&amp;PROPERTIES[[#This Row],[LOADINGSPEED]],LOADINGSPEEDDEF[TYPE],LOADINGSPEEDDEF[SPEED])</f>
        <v>20</v>
      </c>
      <c r="N672" cm="1">
        <f t="array" ref="N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2">
        <f>IF(ISNUMBER(SEARCH("passenger",PROPERTIES[[#This Row],[CARGODEF]])),1,0)</f>
        <v>0</v>
      </c>
      <c r="P672" s="29">
        <v>23</v>
      </c>
      <c r="Q672">
        <v>0</v>
      </c>
      <c r="R672">
        <v>80</v>
      </c>
      <c r="S672" s="26">
        <v>0</v>
      </c>
      <c r="T672" s="25">
        <f>IFERROR(PROPERTIES[[#This Row],[TE_STARTING_KN]]/(PROPERTIES[[#This Row],[WEIGHT]]*9.81),0)</f>
        <v>0</v>
      </c>
      <c r="U672" s="25">
        <v>0.3</v>
      </c>
      <c r="V672" s="22">
        <f>ROUND(IF(IFERROR(PROPERTIES[[#This Row],[TE_COEFFICIENT_CALC]],0)=0,PROPERTIES[[#This Row],[TE_COEFFICIENT_MANUAL]],PROPERTIES[[#This Row],[TE_COEFFICIENT_CALC]]),3)</f>
        <v>0.3</v>
      </c>
      <c r="W672" s="10" cm="1">
        <f t="array" ref="W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2" s="32">
        <v>0</v>
      </c>
      <c r="Y672" s="8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8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9" t="b">
        <v>0</v>
      </c>
      <c r="AY672"/>
      <c r="AZ672"/>
      <c r="BA672"/>
    </row>
    <row r="673" spans="1:53">
      <c r="A673" s="2" t="s">
        <v>806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3" t="str">
        <f>_xlfn.XLOOKUP(PROPERTIES[[#This Row],[COUNTRY]],COUNTRIES[COUNTRY_DESCRIPTION],COUNTRIES[COUNTRY_LABEL],"")</f>
        <v/>
      </c>
      <c r="G673" t="str" cm="1">
        <f t="array" ref="G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3" t="s">
        <v>598</v>
      </c>
      <c r="I673">
        <v>40</v>
      </c>
      <c r="J673">
        <v>6</v>
      </c>
      <c r="K673">
        <v>6</v>
      </c>
      <c r="L673" t="str" cm="1">
        <f t="array" ref="L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3">
        <f>_xlfn.XLOOKUP("LOADINGSPEEDDEF_"&amp;PROPERTIES[[#This Row],[LOADINGSPEED]],LOADINGSPEEDDEF[TYPE],LOADINGSPEEDDEF[SPEED])</f>
        <v>20</v>
      </c>
      <c r="N673" cm="1">
        <f t="array" ref="N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3">
        <f>IF(ISNUMBER(SEARCH("passenger",PROPERTIES[[#This Row],[CARGODEF]])),1,0)</f>
        <v>0</v>
      </c>
      <c r="P673" s="29">
        <v>26</v>
      </c>
      <c r="Q673">
        <v>0</v>
      </c>
      <c r="R673">
        <v>80</v>
      </c>
      <c r="S673" s="26">
        <v>0</v>
      </c>
      <c r="T673" s="25">
        <f>IFERROR(PROPERTIES[[#This Row],[TE_STARTING_KN]]/(PROPERTIES[[#This Row],[WEIGHT]]*9.81),0)</f>
        <v>0</v>
      </c>
      <c r="U673" s="25">
        <v>0.3</v>
      </c>
      <c r="V673" s="22">
        <f>ROUND(IF(IFERROR(PROPERTIES[[#This Row],[TE_COEFFICIENT_CALC]],0)=0,PROPERTIES[[#This Row],[TE_COEFFICIENT_MANUAL]],PROPERTIES[[#This Row],[TE_COEFFICIENT_CALC]]),3)</f>
        <v>0.3</v>
      </c>
      <c r="W673" s="10" cm="1">
        <f t="array" ref="W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3" s="32">
        <v>0</v>
      </c>
      <c r="Y673" s="8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8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9" t="b">
        <v>0</v>
      </c>
      <c r="AY673"/>
      <c r="AZ673"/>
      <c r="BA673"/>
    </row>
    <row r="674" spans="1:53">
      <c r="A674" s="2" t="s">
        <v>807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4" t="str">
        <f>_xlfn.XLOOKUP(PROPERTIES[[#This Row],[COUNTRY]],COUNTRIES[COUNTRY_DESCRIPTION],COUNTRIES[COUNTRY_LABEL],"")</f>
        <v/>
      </c>
      <c r="G674" t="str" cm="1">
        <f t="array" ref="G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4" t="s">
        <v>595</v>
      </c>
      <c r="I674">
        <v>50</v>
      </c>
      <c r="J674">
        <v>7</v>
      </c>
      <c r="K674">
        <v>7</v>
      </c>
      <c r="L674" t="str" cm="1">
        <f t="array" ref="L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4">
        <f>_xlfn.XLOOKUP("LOADINGSPEEDDEF_"&amp;PROPERTIES[[#This Row],[LOADINGSPEED]],LOADINGSPEEDDEF[TYPE],LOADINGSPEEDDEF[SPEED])</f>
        <v>20</v>
      </c>
      <c r="N674" cm="1">
        <f t="array" ref="N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4">
        <f>IF(ISNUMBER(SEARCH("passenger",PROPERTIES[[#This Row],[CARGODEF]])),1,0)</f>
        <v>0</v>
      </c>
      <c r="P674" s="29">
        <v>25</v>
      </c>
      <c r="Q674">
        <v>0</v>
      </c>
      <c r="R674">
        <v>100</v>
      </c>
      <c r="S674" s="26">
        <v>0</v>
      </c>
      <c r="T674" s="25">
        <f>IFERROR(PROPERTIES[[#This Row],[TE_STARTING_KN]]/(PROPERTIES[[#This Row],[WEIGHT]]*9.81),0)</f>
        <v>0</v>
      </c>
      <c r="U674" s="25">
        <v>0.3</v>
      </c>
      <c r="V674" s="22">
        <f>ROUND(IF(IFERROR(PROPERTIES[[#This Row],[TE_COEFFICIENT_CALC]],0)=0,PROPERTIES[[#This Row],[TE_COEFFICIENT_MANUAL]],PROPERTIES[[#This Row],[TE_COEFFICIENT_CALC]]),3)</f>
        <v>0.3</v>
      </c>
      <c r="W674" s="10" cm="1">
        <f t="array" ref="W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4" s="32">
        <v>0</v>
      </c>
      <c r="Y674" s="8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8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9" t="b">
        <v>0</v>
      </c>
      <c r="AY674"/>
      <c r="AZ674"/>
      <c r="BA674"/>
    </row>
    <row r="675" spans="1:53">
      <c r="A675" s="2" t="s">
        <v>808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5" t="str">
        <f>_xlfn.XLOOKUP(PROPERTIES[[#This Row],[COUNTRY]],COUNTRIES[COUNTRY_DESCRIPTION],COUNTRIES[COUNTRY_LABEL],"")</f>
        <v/>
      </c>
      <c r="G675" t="str" cm="1">
        <f t="array" ref="G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5" t="s">
        <v>597</v>
      </c>
      <c r="I675">
        <v>70</v>
      </c>
      <c r="J675">
        <v>7</v>
      </c>
      <c r="K675">
        <v>7</v>
      </c>
      <c r="L675" t="str" cm="1">
        <f t="array" ref="L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5">
        <f>_xlfn.XLOOKUP("LOADINGSPEEDDEF_"&amp;PROPERTIES[[#This Row],[LOADINGSPEED]],LOADINGSPEEDDEF[TYPE],LOADINGSPEEDDEF[SPEED])</f>
        <v>20</v>
      </c>
      <c r="N675" cm="1">
        <f t="array" ref="N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5">
        <f>IF(ISNUMBER(SEARCH("passenger",PROPERTIES[[#This Row],[CARGODEF]])),1,0)</f>
        <v>0</v>
      </c>
      <c r="P675" s="29">
        <v>30</v>
      </c>
      <c r="Q675">
        <v>0</v>
      </c>
      <c r="R675">
        <v>100</v>
      </c>
      <c r="S675" s="26">
        <v>0</v>
      </c>
      <c r="T675" s="25">
        <f>IFERROR(PROPERTIES[[#This Row],[TE_STARTING_KN]]/(PROPERTIES[[#This Row],[WEIGHT]]*9.81),0)</f>
        <v>0</v>
      </c>
      <c r="U675" s="25">
        <v>0.3</v>
      </c>
      <c r="V675" s="22">
        <f>ROUND(IF(IFERROR(PROPERTIES[[#This Row],[TE_COEFFICIENT_CALC]],0)=0,PROPERTIES[[#This Row],[TE_COEFFICIENT_MANUAL]],PROPERTIES[[#This Row],[TE_COEFFICIENT_CALC]]),3)</f>
        <v>0.3</v>
      </c>
      <c r="W675" s="10" cm="1">
        <f t="array" ref="W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5" s="32">
        <v>0</v>
      </c>
      <c r="Y675" s="8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8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9" t="b">
        <v>0</v>
      </c>
      <c r="AY675"/>
      <c r="AZ675"/>
      <c r="BA675"/>
    </row>
    <row r="676" spans="1:53">
      <c r="A676" s="2" t="s">
        <v>809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6" t="str">
        <f>_xlfn.XLOOKUP(PROPERTIES[[#This Row],[COUNTRY]],COUNTRIES[COUNTRY_DESCRIPTION],COUNTRIES[COUNTRY_LABEL],"")</f>
        <v/>
      </c>
      <c r="G676" t="str" cm="1">
        <f t="array" ref="G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6" t="s">
        <v>2911</v>
      </c>
      <c r="I676">
        <v>42</v>
      </c>
      <c r="J676">
        <v>7</v>
      </c>
      <c r="K676">
        <v>7</v>
      </c>
      <c r="L676" t="str" cm="1">
        <f t="array" ref="L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6">
        <f>_xlfn.XLOOKUP("LOADINGSPEEDDEF_"&amp;PROPERTIES[[#This Row],[LOADINGSPEED]],LOADINGSPEEDDEF[TYPE],LOADINGSPEEDDEF[SPEED])</f>
        <v>20</v>
      </c>
      <c r="N676" cm="1">
        <f t="array" ref="N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6">
        <f>IF(ISNUMBER(SEARCH("passenger",PROPERTIES[[#This Row],[CARGODEF]])),1,0)</f>
        <v>0</v>
      </c>
      <c r="P676" s="29">
        <v>30</v>
      </c>
      <c r="Q676">
        <v>0</v>
      </c>
      <c r="R676">
        <v>120</v>
      </c>
      <c r="S676" s="26">
        <v>0</v>
      </c>
      <c r="T676" s="25">
        <f>IFERROR(PROPERTIES[[#This Row],[TE_STARTING_KN]]/(PROPERTIES[[#This Row],[WEIGHT]]*9.81),0)</f>
        <v>0</v>
      </c>
      <c r="U676" s="25">
        <v>0.3</v>
      </c>
      <c r="V676" s="22">
        <f>ROUND(IF(IFERROR(PROPERTIES[[#This Row],[TE_COEFFICIENT_CALC]],0)=0,PROPERTIES[[#This Row],[TE_COEFFICIENT_MANUAL]],PROPERTIES[[#This Row],[TE_COEFFICIENT_CALC]]),3)</f>
        <v>0.3</v>
      </c>
      <c r="W676" s="10" cm="1">
        <f t="array" ref="W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6" s="32">
        <v>0</v>
      </c>
      <c r="Y676" s="8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8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9" t="b">
        <v>0</v>
      </c>
      <c r="AY676"/>
      <c r="AZ676"/>
      <c r="BA676"/>
    </row>
    <row r="677" spans="1:53">
      <c r="A677" s="2" t="s">
        <v>810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7" t="str">
        <f>_xlfn.XLOOKUP(PROPERTIES[[#This Row],[COUNTRY]],COUNTRIES[COUNTRY_DESCRIPTION],COUNTRIES[COUNTRY_LABEL],"")</f>
        <v/>
      </c>
      <c r="G677" t="str" cm="1">
        <f t="array" ref="G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7" t="s">
        <v>2914</v>
      </c>
      <c r="I677">
        <v>42</v>
      </c>
      <c r="J677">
        <v>7</v>
      </c>
      <c r="K677">
        <v>7</v>
      </c>
      <c r="L677" t="str" cm="1">
        <f t="array" ref="L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7">
        <f>_xlfn.XLOOKUP("LOADINGSPEEDDEF_"&amp;PROPERTIES[[#This Row],[LOADINGSPEED]],LOADINGSPEEDDEF[TYPE],LOADINGSPEEDDEF[SPEED])</f>
        <v>20</v>
      </c>
      <c r="N677" cm="1">
        <f t="array" ref="N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7">
        <f>IF(ISNUMBER(SEARCH("passenger",PROPERTIES[[#This Row],[CARGODEF]])),1,0)</f>
        <v>0</v>
      </c>
      <c r="P677" s="29">
        <v>30</v>
      </c>
      <c r="Q677">
        <v>0</v>
      </c>
      <c r="R677">
        <v>120</v>
      </c>
      <c r="S677" s="26">
        <v>0</v>
      </c>
      <c r="T677" s="25">
        <f>IFERROR(PROPERTIES[[#This Row],[TE_STARTING_KN]]/(PROPERTIES[[#This Row],[WEIGHT]]*9.81),0)</f>
        <v>0</v>
      </c>
      <c r="U677" s="25">
        <v>0.3</v>
      </c>
      <c r="V677" s="22">
        <f>ROUND(IF(IFERROR(PROPERTIES[[#This Row],[TE_COEFFICIENT_CALC]],0)=0,PROPERTIES[[#This Row],[TE_COEFFICIENT_MANUAL]],PROPERTIES[[#This Row],[TE_COEFFICIENT_CALC]]),3)</f>
        <v>0.3</v>
      </c>
      <c r="W677" s="10" cm="1">
        <f t="array" ref="W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7" s="32">
        <v>0</v>
      </c>
      <c r="Y677" s="8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8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9" t="b">
        <v>0</v>
      </c>
      <c r="AY677"/>
      <c r="AZ677"/>
      <c r="BA677"/>
    </row>
    <row r="678" spans="1:53">
      <c r="A678" s="2" t="s">
        <v>811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8" t="str">
        <f>_xlfn.XLOOKUP(PROPERTIES[[#This Row],[COUNTRY]],COUNTRIES[COUNTRY_DESCRIPTION],COUNTRIES[COUNTRY_LABEL],"")</f>
        <v/>
      </c>
      <c r="G678" t="str" cm="1">
        <f t="array" ref="G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8" t="s">
        <v>601</v>
      </c>
      <c r="I678">
        <v>80</v>
      </c>
      <c r="J678">
        <v>7</v>
      </c>
      <c r="K678">
        <v>7</v>
      </c>
      <c r="L678" t="str" cm="1">
        <f t="array" ref="L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8">
        <f>_xlfn.XLOOKUP("LOADINGSPEEDDEF_"&amp;PROPERTIES[[#This Row],[LOADINGSPEED]],LOADINGSPEEDDEF[TYPE],LOADINGSPEEDDEF[SPEED])</f>
        <v>20</v>
      </c>
      <c r="N678" cm="1">
        <f t="array" ref="N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8">
        <f>IF(ISNUMBER(SEARCH("passenger",PROPERTIES[[#This Row],[CARGODEF]])),1,0)</f>
        <v>0</v>
      </c>
      <c r="P678" s="29">
        <v>22</v>
      </c>
      <c r="Q678">
        <v>0</v>
      </c>
      <c r="R678">
        <v>100</v>
      </c>
      <c r="S678" s="26">
        <v>0</v>
      </c>
      <c r="T678" s="25">
        <f>IFERROR(PROPERTIES[[#This Row],[TE_STARTING_KN]]/(PROPERTIES[[#This Row],[WEIGHT]]*9.81),0)</f>
        <v>0</v>
      </c>
      <c r="U678" s="25">
        <v>0.3</v>
      </c>
      <c r="V678" s="22">
        <f>ROUND(IF(IFERROR(PROPERTIES[[#This Row],[TE_COEFFICIENT_CALC]],0)=0,PROPERTIES[[#This Row],[TE_COEFFICIENT_MANUAL]],PROPERTIES[[#This Row],[TE_COEFFICIENT_CALC]]),3)</f>
        <v>0.3</v>
      </c>
      <c r="W678" s="10" cm="1">
        <f t="array" ref="W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8" s="32">
        <v>0</v>
      </c>
      <c r="Y678" s="8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8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9" t="b">
        <v>0</v>
      </c>
      <c r="AY678"/>
      <c r="AZ678"/>
      <c r="BA678"/>
    </row>
    <row r="679" spans="1:53">
      <c r="A679" s="2" t="s">
        <v>812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9" t="str">
        <f>_xlfn.XLOOKUP(PROPERTIES[[#This Row],[COUNTRY]],COUNTRIES[COUNTRY_DESCRIPTION],COUNTRIES[COUNTRY_LABEL],"")</f>
        <v/>
      </c>
      <c r="G679" t="str" cm="1">
        <f t="array" ref="G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9" t="s">
        <v>596</v>
      </c>
      <c r="I679">
        <v>55</v>
      </c>
      <c r="J679">
        <v>7</v>
      </c>
      <c r="K679">
        <v>7</v>
      </c>
      <c r="L679" t="str" cm="1">
        <f t="array" ref="L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9">
        <f>_xlfn.XLOOKUP("LOADINGSPEEDDEF_"&amp;PROPERTIES[[#This Row],[LOADINGSPEED]],LOADINGSPEEDDEF[TYPE],LOADINGSPEEDDEF[SPEED])</f>
        <v>20</v>
      </c>
      <c r="N679" cm="1">
        <f t="array" ref="N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9">
        <f>IF(ISNUMBER(SEARCH("passenger",PROPERTIES[[#This Row],[CARGODEF]])),1,0)</f>
        <v>0</v>
      </c>
      <c r="P679" s="29">
        <v>22</v>
      </c>
      <c r="Q679">
        <v>0</v>
      </c>
      <c r="R679">
        <v>100</v>
      </c>
      <c r="S679" s="26">
        <v>0</v>
      </c>
      <c r="T679" s="25">
        <f>IFERROR(PROPERTIES[[#This Row],[TE_STARTING_KN]]/(PROPERTIES[[#This Row],[WEIGHT]]*9.81),0)</f>
        <v>0</v>
      </c>
      <c r="U679" s="25">
        <v>0.3</v>
      </c>
      <c r="V679" s="22">
        <f>ROUND(IF(IFERROR(PROPERTIES[[#This Row],[TE_COEFFICIENT_CALC]],0)=0,PROPERTIES[[#This Row],[TE_COEFFICIENT_MANUAL]],PROPERTIES[[#This Row],[TE_COEFFICIENT_CALC]]),3)</f>
        <v>0.3</v>
      </c>
      <c r="W679" s="10" cm="1">
        <f t="array" ref="W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9" s="32">
        <v>0</v>
      </c>
      <c r="Y679" s="8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8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9" t="b">
        <v>0</v>
      </c>
      <c r="AY679"/>
      <c r="AZ679"/>
      <c r="BA679"/>
    </row>
    <row r="680" spans="1:53">
      <c r="A680" s="2" t="s">
        <v>813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0" t="str">
        <f>_xlfn.XLOOKUP(PROPERTIES[[#This Row],[COUNTRY]],COUNTRIES[COUNTRY_DESCRIPTION],COUNTRIES[COUNTRY_LABEL],"")</f>
        <v/>
      </c>
      <c r="G680" t="str" cm="1">
        <f t="array" ref="G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0" t="s">
        <v>2913</v>
      </c>
      <c r="I680">
        <v>55</v>
      </c>
      <c r="J680">
        <v>7</v>
      </c>
      <c r="K680">
        <v>7</v>
      </c>
      <c r="L680" t="str" cm="1">
        <f t="array" ref="L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0">
        <f>_xlfn.XLOOKUP("LOADINGSPEEDDEF_"&amp;PROPERTIES[[#This Row],[LOADINGSPEED]],LOADINGSPEEDDEF[TYPE],LOADINGSPEEDDEF[SPEED])</f>
        <v>20</v>
      </c>
      <c r="N680" cm="1">
        <f t="array" ref="N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0">
        <f>IF(ISNUMBER(SEARCH("passenger",PROPERTIES[[#This Row],[CARGODEF]])),1,0)</f>
        <v>0</v>
      </c>
      <c r="P680" s="29">
        <v>25</v>
      </c>
      <c r="Q680">
        <v>0</v>
      </c>
      <c r="R680">
        <v>100</v>
      </c>
      <c r="S680" s="26">
        <v>0</v>
      </c>
      <c r="T680" s="25">
        <f>IFERROR(PROPERTIES[[#This Row],[TE_STARTING_KN]]/(PROPERTIES[[#This Row],[WEIGHT]]*9.81),0)</f>
        <v>0</v>
      </c>
      <c r="U680" s="25">
        <v>0.3</v>
      </c>
      <c r="V680" s="22">
        <f>ROUND(IF(IFERROR(PROPERTIES[[#This Row],[TE_COEFFICIENT_CALC]],0)=0,PROPERTIES[[#This Row],[TE_COEFFICIENT_MANUAL]],PROPERTIES[[#This Row],[TE_COEFFICIENT_CALC]]),3)</f>
        <v>0.3</v>
      </c>
      <c r="W680" s="10" cm="1">
        <f t="array" ref="W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0" s="32">
        <v>0</v>
      </c>
      <c r="Y680" s="8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8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9" t="b">
        <v>0</v>
      </c>
      <c r="AY680"/>
      <c r="AZ680"/>
      <c r="BA680"/>
    </row>
    <row r="681" spans="1:53">
      <c r="A681" s="2" t="s">
        <v>814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1" t="str">
        <f>_xlfn.XLOOKUP(PROPERTIES[[#This Row],[COUNTRY]],COUNTRIES[COUNTRY_DESCRIPTION],COUNTRIES[COUNTRY_LABEL],"")</f>
        <v/>
      </c>
      <c r="G681" t="str" cm="1">
        <f t="array" ref="G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1" t="s">
        <v>2916</v>
      </c>
      <c r="I681">
        <v>55</v>
      </c>
      <c r="J681">
        <v>7</v>
      </c>
      <c r="K681">
        <v>7</v>
      </c>
      <c r="L681" t="str" cm="1">
        <f t="array" ref="L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1">
        <f>_xlfn.XLOOKUP("LOADINGSPEEDDEF_"&amp;PROPERTIES[[#This Row],[LOADINGSPEED]],LOADINGSPEEDDEF[TYPE],LOADINGSPEEDDEF[SPEED])</f>
        <v>20</v>
      </c>
      <c r="N681" cm="1">
        <f t="array" ref="N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1">
        <f>IF(ISNUMBER(SEARCH("passenger",PROPERTIES[[#This Row],[CARGODEF]])),1,0)</f>
        <v>0</v>
      </c>
      <c r="P681" s="29">
        <v>25</v>
      </c>
      <c r="Q681">
        <v>0</v>
      </c>
      <c r="R681">
        <v>100</v>
      </c>
      <c r="S681" s="26">
        <v>0</v>
      </c>
      <c r="T681" s="25">
        <f>IFERROR(PROPERTIES[[#This Row],[TE_STARTING_KN]]/(PROPERTIES[[#This Row],[WEIGHT]]*9.81),0)</f>
        <v>0</v>
      </c>
      <c r="U681" s="25">
        <v>0.3</v>
      </c>
      <c r="V681" s="22">
        <f>ROUND(IF(IFERROR(PROPERTIES[[#This Row],[TE_COEFFICIENT_CALC]],0)=0,PROPERTIES[[#This Row],[TE_COEFFICIENT_MANUAL]],PROPERTIES[[#This Row],[TE_COEFFICIENT_CALC]]),3)</f>
        <v>0.3</v>
      </c>
      <c r="W681" s="10" cm="1">
        <f t="array" ref="W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1" s="32">
        <v>0</v>
      </c>
      <c r="Y681" s="8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8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9" t="b">
        <v>0</v>
      </c>
      <c r="AY681"/>
      <c r="AZ681"/>
      <c r="BA681"/>
    </row>
    <row r="682" spans="1:53">
      <c r="A682" s="2" t="s">
        <v>815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2" t="str">
        <f>_xlfn.XLOOKUP(PROPERTIES[[#This Row],[COUNTRY]],COUNTRIES[COUNTRY_DESCRIPTION],COUNTRIES[COUNTRY_LABEL],"")</f>
        <v/>
      </c>
      <c r="G682" t="str" cm="1">
        <f t="array" ref="G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2" t="s">
        <v>2912</v>
      </c>
      <c r="I682">
        <v>55</v>
      </c>
      <c r="J682">
        <v>7</v>
      </c>
      <c r="K682">
        <v>7</v>
      </c>
      <c r="L682" t="str" cm="1">
        <f t="array" ref="L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2">
        <f>_xlfn.XLOOKUP("LOADINGSPEEDDEF_"&amp;PROPERTIES[[#This Row],[LOADINGSPEED]],LOADINGSPEEDDEF[TYPE],LOADINGSPEEDDEF[SPEED])</f>
        <v>20</v>
      </c>
      <c r="N682" cm="1">
        <f t="array" ref="N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2">
        <f>IF(ISNUMBER(SEARCH("passenger",PROPERTIES[[#This Row],[CARGODEF]])),1,0)</f>
        <v>0</v>
      </c>
      <c r="P682" s="29">
        <v>25</v>
      </c>
      <c r="Q682">
        <v>0</v>
      </c>
      <c r="R682">
        <v>100</v>
      </c>
      <c r="S682" s="26">
        <v>0</v>
      </c>
      <c r="T682" s="25">
        <f>IFERROR(PROPERTIES[[#This Row],[TE_STARTING_KN]]/(PROPERTIES[[#This Row],[WEIGHT]]*9.81),0)</f>
        <v>0</v>
      </c>
      <c r="U682" s="25">
        <v>0.3</v>
      </c>
      <c r="V682" s="22">
        <f>ROUND(IF(IFERROR(PROPERTIES[[#This Row],[TE_COEFFICIENT_CALC]],0)=0,PROPERTIES[[#This Row],[TE_COEFFICIENT_MANUAL]],PROPERTIES[[#This Row],[TE_COEFFICIENT_CALC]]),3)</f>
        <v>0.3</v>
      </c>
      <c r="W682" s="10" cm="1">
        <f t="array" ref="W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2" s="32">
        <v>0</v>
      </c>
      <c r="Y682" s="8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8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9" t="b">
        <v>0</v>
      </c>
      <c r="AY682"/>
      <c r="AZ682"/>
      <c r="BA682"/>
    </row>
    <row r="683" spans="1:53">
      <c r="A683" s="2" t="s">
        <v>816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3" t="str">
        <f>_xlfn.XLOOKUP(PROPERTIES[[#This Row],[COUNTRY]],COUNTRIES[COUNTRY_DESCRIPTION],COUNTRIES[COUNTRY_LABEL],"")</f>
        <v/>
      </c>
      <c r="G683" t="str" cm="1">
        <f t="array" ref="G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3" t="s">
        <v>2915</v>
      </c>
      <c r="I683">
        <v>55</v>
      </c>
      <c r="J683">
        <v>7</v>
      </c>
      <c r="K683">
        <v>7</v>
      </c>
      <c r="L683" t="str" cm="1">
        <f t="array" ref="L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3">
        <f>_xlfn.XLOOKUP("LOADINGSPEEDDEF_"&amp;PROPERTIES[[#This Row],[LOADINGSPEED]],LOADINGSPEEDDEF[TYPE],LOADINGSPEEDDEF[SPEED])</f>
        <v>20</v>
      </c>
      <c r="N683" cm="1">
        <f t="array" ref="N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3">
        <f>IF(ISNUMBER(SEARCH("passenger",PROPERTIES[[#This Row],[CARGODEF]])),1,0)</f>
        <v>0</v>
      </c>
      <c r="P683" s="29">
        <v>25</v>
      </c>
      <c r="Q683">
        <v>0</v>
      </c>
      <c r="R683">
        <v>100</v>
      </c>
      <c r="S683" s="26">
        <v>0</v>
      </c>
      <c r="T683" s="25">
        <f>IFERROR(PROPERTIES[[#This Row],[TE_STARTING_KN]]/(PROPERTIES[[#This Row],[WEIGHT]]*9.81),0)</f>
        <v>0</v>
      </c>
      <c r="U683" s="25">
        <v>0.3</v>
      </c>
      <c r="V683" s="22">
        <f>ROUND(IF(IFERROR(PROPERTIES[[#This Row],[TE_COEFFICIENT_CALC]],0)=0,PROPERTIES[[#This Row],[TE_COEFFICIENT_MANUAL]],PROPERTIES[[#This Row],[TE_COEFFICIENT_CALC]]),3)</f>
        <v>0.3</v>
      </c>
      <c r="W683" s="10" cm="1">
        <f t="array" ref="W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3" s="32">
        <v>0</v>
      </c>
      <c r="Y683" s="8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8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9" t="b">
        <v>0</v>
      </c>
      <c r="AY683"/>
      <c r="AZ683"/>
      <c r="BA683"/>
    </row>
    <row r="684" spans="1:53">
      <c r="A684" s="2" t="s">
        <v>817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4" t="str">
        <f>_xlfn.XLOOKUP(PROPERTIES[[#This Row],[COUNTRY]],COUNTRIES[COUNTRY_DESCRIPTION],COUNTRIES[COUNTRY_LABEL],"")</f>
        <v/>
      </c>
      <c r="G684" t="str" cm="1">
        <f t="array" ref="G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4" t="s">
        <v>592</v>
      </c>
      <c r="I684">
        <v>16</v>
      </c>
      <c r="J684">
        <v>7</v>
      </c>
      <c r="K684">
        <v>7</v>
      </c>
      <c r="L684" t="str" cm="1">
        <f t="array" ref="L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4">
        <f>_xlfn.XLOOKUP("LOADINGSPEEDDEF_"&amp;PROPERTIES[[#This Row],[LOADINGSPEED]],LOADINGSPEEDDEF[TYPE],LOADINGSPEEDDEF[SPEED])</f>
        <v>20</v>
      </c>
      <c r="N684" cm="1">
        <f t="array" ref="N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4">
        <f>IF(ISNUMBER(SEARCH("passenger",PROPERTIES[[#This Row],[CARGODEF]])),1,0)</f>
        <v>0</v>
      </c>
      <c r="P684" s="29">
        <v>26</v>
      </c>
      <c r="Q684">
        <v>0</v>
      </c>
      <c r="R684">
        <v>100</v>
      </c>
      <c r="S684" s="26">
        <v>0</v>
      </c>
      <c r="T684" s="25">
        <f>IFERROR(PROPERTIES[[#This Row],[TE_STARTING_KN]]/(PROPERTIES[[#This Row],[WEIGHT]]*9.81),0)</f>
        <v>0</v>
      </c>
      <c r="U684" s="25">
        <v>0.3</v>
      </c>
      <c r="V684" s="22">
        <f>ROUND(IF(IFERROR(PROPERTIES[[#This Row],[TE_COEFFICIENT_CALC]],0)=0,PROPERTIES[[#This Row],[TE_COEFFICIENT_MANUAL]],PROPERTIES[[#This Row],[TE_COEFFICIENT_CALC]]),3)</f>
        <v>0.3</v>
      </c>
      <c r="W684" s="10" cm="1">
        <f t="array" ref="W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4" s="32">
        <v>0</v>
      </c>
      <c r="Y684" s="8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8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9" t="b">
        <v>0</v>
      </c>
      <c r="AY684"/>
      <c r="AZ684"/>
      <c r="BA684"/>
    </row>
    <row r="685" spans="1:53">
      <c r="A685" s="2" t="s">
        <v>818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5" t="str">
        <f>_xlfn.XLOOKUP(PROPERTIES[[#This Row],[COUNTRY]],COUNTRIES[COUNTRY_DESCRIPTION],COUNTRIES[COUNTRY_LABEL],"")</f>
        <v/>
      </c>
      <c r="G685" t="str" cm="1">
        <f t="array" ref="G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5" t="s">
        <v>526</v>
      </c>
      <c r="I685">
        <v>37</v>
      </c>
      <c r="J685">
        <v>7</v>
      </c>
      <c r="K685">
        <v>7</v>
      </c>
      <c r="L685" t="str" cm="1">
        <f t="array" ref="L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5">
        <f>_xlfn.XLOOKUP("LOADINGSPEEDDEF_"&amp;PROPERTIES[[#This Row],[LOADINGSPEED]],LOADINGSPEEDDEF[TYPE],LOADINGSPEEDDEF[SPEED])</f>
        <v>20</v>
      </c>
      <c r="N685" cm="1">
        <f t="array" ref="N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5">
        <f>IF(ISNUMBER(SEARCH("passenger",PROPERTIES[[#This Row],[CARGODEF]])),1,0)</f>
        <v>0</v>
      </c>
      <c r="P685" s="29">
        <v>19</v>
      </c>
      <c r="Q685">
        <v>0</v>
      </c>
      <c r="R685">
        <v>120</v>
      </c>
      <c r="S685" s="26">
        <v>0</v>
      </c>
      <c r="T685" s="25">
        <f>IFERROR(PROPERTIES[[#This Row],[TE_STARTING_KN]]/(PROPERTIES[[#This Row],[WEIGHT]]*9.81),0)</f>
        <v>0</v>
      </c>
      <c r="U685" s="25">
        <v>0.3</v>
      </c>
      <c r="V685" s="22">
        <f>ROUND(IF(IFERROR(PROPERTIES[[#This Row],[TE_COEFFICIENT_CALC]],0)=0,PROPERTIES[[#This Row],[TE_COEFFICIENT_MANUAL]],PROPERTIES[[#This Row],[TE_COEFFICIENT_CALC]]),3)</f>
        <v>0.3</v>
      </c>
      <c r="W685" s="10" cm="1">
        <f t="array" ref="W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5" s="32">
        <v>0</v>
      </c>
      <c r="Y685" s="8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8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9" t="b">
        <v>0</v>
      </c>
      <c r="AY685"/>
      <c r="AZ685"/>
      <c r="BA685"/>
    </row>
    <row r="686" spans="1:53">
      <c r="A686" s="2" t="s">
        <v>819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6" t="str">
        <f>_xlfn.XLOOKUP(PROPERTIES[[#This Row],[COUNTRY]],COUNTRIES[COUNTRY_DESCRIPTION],COUNTRIES[COUNTRY_LABEL],"")</f>
        <v/>
      </c>
      <c r="G686" t="str" cm="1">
        <f t="array" ref="G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6" t="s">
        <v>593</v>
      </c>
      <c r="I686">
        <v>45</v>
      </c>
      <c r="J686">
        <v>7</v>
      </c>
      <c r="K686">
        <v>7</v>
      </c>
      <c r="L686" t="str" cm="1">
        <f t="array" ref="L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6">
        <f>_xlfn.XLOOKUP("LOADINGSPEEDDEF_"&amp;PROPERTIES[[#This Row],[LOADINGSPEED]],LOADINGSPEEDDEF[TYPE],LOADINGSPEEDDEF[SPEED])</f>
        <v>20</v>
      </c>
      <c r="N686" cm="1">
        <f t="array" ref="N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6">
        <f>IF(ISNUMBER(SEARCH("passenger",PROPERTIES[[#This Row],[CARGODEF]])),1,0)</f>
        <v>0</v>
      </c>
      <c r="P686" s="29">
        <v>42</v>
      </c>
      <c r="Q686">
        <v>0</v>
      </c>
      <c r="R686">
        <v>100</v>
      </c>
      <c r="S686" s="26">
        <v>0</v>
      </c>
      <c r="T686" s="25">
        <f>IFERROR(PROPERTIES[[#This Row],[TE_STARTING_KN]]/(PROPERTIES[[#This Row],[WEIGHT]]*9.81),0)</f>
        <v>0</v>
      </c>
      <c r="U686" s="25">
        <v>0.3</v>
      </c>
      <c r="V686" s="22">
        <f>ROUND(IF(IFERROR(PROPERTIES[[#This Row],[TE_COEFFICIENT_CALC]],0)=0,PROPERTIES[[#This Row],[TE_COEFFICIENT_MANUAL]],PROPERTIES[[#This Row],[TE_COEFFICIENT_CALC]]),3)</f>
        <v>0.3</v>
      </c>
      <c r="W686" s="10" cm="1">
        <f t="array" ref="W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6" s="32">
        <v>0</v>
      </c>
      <c r="Y686" s="8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8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9" t="b">
        <v>0</v>
      </c>
      <c r="AY686"/>
      <c r="AZ686"/>
      <c r="BA686"/>
    </row>
    <row r="687" spans="1:53">
      <c r="A687" s="2" t="s">
        <v>820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7" t="str">
        <f>_xlfn.XLOOKUP(PROPERTIES[[#This Row],[COUNTRY]],COUNTRIES[COUNTRY_DESCRIPTION],COUNTRIES[COUNTRY_LABEL],"")</f>
        <v/>
      </c>
      <c r="G687" t="str" cm="1">
        <f t="array" ref="G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7" t="s">
        <v>595</v>
      </c>
      <c r="I687">
        <v>60</v>
      </c>
      <c r="J687">
        <v>8</v>
      </c>
      <c r="K687">
        <v>8</v>
      </c>
      <c r="L687" t="str" cm="1">
        <f t="array" ref="L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7">
        <f>_xlfn.XLOOKUP("LOADINGSPEEDDEF_"&amp;PROPERTIES[[#This Row],[LOADINGSPEED]],LOADINGSPEEDDEF[TYPE],LOADINGSPEEDDEF[SPEED])</f>
        <v>20</v>
      </c>
      <c r="N687" t="str" cm="1">
        <f t="array" ref="N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7">
        <f>IF(ISNUMBER(SEARCH("passenger",PROPERTIES[[#This Row],[CARGODEF]])),1,0)</f>
        <v>0</v>
      </c>
      <c r="P687" s="29">
        <v>23</v>
      </c>
      <c r="Q687">
        <v>0</v>
      </c>
      <c r="R687">
        <v>120</v>
      </c>
      <c r="S687" s="26">
        <v>0</v>
      </c>
      <c r="T687" s="25">
        <f>IFERROR(PROPERTIES[[#This Row],[TE_STARTING_KN]]/(PROPERTIES[[#This Row],[WEIGHT]]*9.81),0)</f>
        <v>0</v>
      </c>
      <c r="U687" s="25">
        <v>0.3</v>
      </c>
      <c r="V687" s="22">
        <f>ROUND(IF(IFERROR(PROPERTIES[[#This Row],[TE_COEFFICIENT_CALC]],0)=0,PROPERTIES[[#This Row],[TE_COEFFICIENT_MANUAL]],PROPERTIES[[#This Row],[TE_COEFFICIENT_CALC]]),3)</f>
        <v>0.3</v>
      </c>
      <c r="W687" s="10" cm="1">
        <f t="array" ref="W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7" s="32">
        <v>0</v>
      </c>
      <c r="Y687" s="8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8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9" t="b">
        <v>0</v>
      </c>
      <c r="AY687"/>
      <c r="AZ687"/>
      <c r="BA687"/>
    </row>
    <row r="688" spans="1:53">
      <c r="A688" s="2" t="s">
        <v>821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8" t="str">
        <f>_xlfn.XLOOKUP(PROPERTIES[[#This Row],[COUNTRY]],COUNTRIES[COUNTRY_DESCRIPTION],COUNTRIES[COUNTRY_LABEL],"")</f>
        <v/>
      </c>
      <c r="G688" t="str" cm="1">
        <f t="array" ref="G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8" t="s">
        <v>597</v>
      </c>
      <c r="I688">
        <v>84</v>
      </c>
      <c r="J688">
        <v>8</v>
      </c>
      <c r="K688">
        <v>8</v>
      </c>
      <c r="L688" t="str" cm="1">
        <f t="array" ref="L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8">
        <f>_xlfn.XLOOKUP("LOADINGSPEEDDEF_"&amp;PROPERTIES[[#This Row],[LOADINGSPEED]],LOADINGSPEEDDEF[TYPE],LOADINGSPEEDDEF[SPEED])</f>
        <v>20</v>
      </c>
      <c r="N688" t="str" cm="1">
        <f t="array" ref="N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8">
        <f>IF(ISNUMBER(SEARCH("passenger",PROPERTIES[[#This Row],[CARGODEF]])),1,0)</f>
        <v>0</v>
      </c>
      <c r="P688" s="29">
        <v>42</v>
      </c>
      <c r="Q688">
        <v>0</v>
      </c>
      <c r="R688">
        <v>100</v>
      </c>
      <c r="S688" s="26">
        <v>0</v>
      </c>
      <c r="T688" s="25">
        <f>IFERROR(PROPERTIES[[#This Row],[TE_STARTING_KN]]/(PROPERTIES[[#This Row],[WEIGHT]]*9.81),0)</f>
        <v>0</v>
      </c>
      <c r="U688" s="25">
        <v>0.3</v>
      </c>
      <c r="V688" s="22">
        <f>ROUND(IF(IFERROR(PROPERTIES[[#This Row],[TE_COEFFICIENT_CALC]],0)=0,PROPERTIES[[#This Row],[TE_COEFFICIENT_MANUAL]],PROPERTIES[[#This Row],[TE_COEFFICIENT_CALC]]),3)</f>
        <v>0.3</v>
      </c>
      <c r="W688" s="10" cm="1">
        <f t="array" ref="W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8" s="32">
        <v>0</v>
      </c>
      <c r="Y688" s="8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8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9" t="b">
        <v>0</v>
      </c>
      <c r="AY688"/>
      <c r="AZ688"/>
      <c r="BA688"/>
    </row>
    <row r="689" spans="1:53">
      <c r="A689" s="2" t="s">
        <v>822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9" t="str">
        <f>_xlfn.XLOOKUP(PROPERTIES[[#This Row],[COUNTRY]],COUNTRIES[COUNTRY_DESCRIPTION],COUNTRIES[COUNTRY_LABEL],"")</f>
        <v/>
      </c>
      <c r="G689" t="str" cm="1">
        <f t="array" ref="G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9" t="s">
        <v>2911</v>
      </c>
      <c r="I689">
        <v>63</v>
      </c>
      <c r="J689">
        <v>8</v>
      </c>
      <c r="K689">
        <v>8</v>
      </c>
      <c r="L689" t="str" cm="1">
        <f t="array" ref="L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9">
        <f>_xlfn.XLOOKUP("LOADINGSPEEDDEF_"&amp;PROPERTIES[[#This Row],[LOADINGSPEED]],LOADINGSPEEDDEF[TYPE],LOADINGSPEEDDEF[SPEED])</f>
        <v>20</v>
      </c>
      <c r="N689" t="str" cm="1">
        <f t="array" ref="N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9">
        <f>IF(ISNUMBER(SEARCH("passenger",PROPERTIES[[#This Row],[CARGODEF]])),1,0)</f>
        <v>0</v>
      </c>
      <c r="P689" s="29">
        <v>27</v>
      </c>
      <c r="Q689">
        <v>0</v>
      </c>
      <c r="R689">
        <v>120</v>
      </c>
      <c r="S689" s="26">
        <v>0</v>
      </c>
      <c r="T689" s="25">
        <f>IFERROR(PROPERTIES[[#This Row],[TE_STARTING_KN]]/(PROPERTIES[[#This Row],[WEIGHT]]*9.81),0)</f>
        <v>0</v>
      </c>
      <c r="U689" s="25">
        <v>0.3</v>
      </c>
      <c r="V689" s="22">
        <f>ROUND(IF(IFERROR(PROPERTIES[[#This Row],[TE_COEFFICIENT_CALC]],0)=0,PROPERTIES[[#This Row],[TE_COEFFICIENT_MANUAL]],PROPERTIES[[#This Row],[TE_COEFFICIENT_CALC]]),3)</f>
        <v>0.3</v>
      </c>
      <c r="W689" s="10" cm="1">
        <f t="array" ref="W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9" s="32">
        <v>0</v>
      </c>
      <c r="Y689" s="8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8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9" t="b">
        <v>0</v>
      </c>
      <c r="AY689"/>
      <c r="AZ689"/>
      <c r="BA689"/>
    </row>
    <row r="690" spans="1:53">
      <c r="A690" s="2" t="s">
        <v>823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0" t="str">
        <f>_xlfn.XLOOKUP(PROPERTIES[[#This Row],[COUNTRY]],COUNTRIES[COUNTRY_DESCRIPTION],COUNTRIES[COUNTRY_LABEL],"")</f>
        <v/>
      </c>
      <c r="G690" t="str" cm="1">
        <f t="array" ref="G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0" t="s">
        <v>2914</v>
      </c>
      <c r="I690">
        <v>63</v>
      </c>
      <c r="J690">
        <v>8</v>
      </c>
      <c r="K690">
        <v>8</v>
      </c>
      <c r="L690" t="str" cm="1">
        <f t="array" ref="L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0">
        <f>_xlfn.XLOOKUP("LOADINGSPEEDDEF_"&amp;PROPERTIES[[#This Row],[LOADINGSPEED]],LOADINGSPEEDDEF[TYPE],LOADINGSPEEDDEF[SPEED])</f>
        <v>20</v>
      </c>
      <c r="N690" t="str" cm="1">
        <f t="array" ref="N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0">
        <f>IF(ISNUMBER(SEARCH("passenger",PROPERTIES[[#This Row],[CARGODEF]])),1,0)</f>
        <v>0</v>
      </c>
      <c r="P690" s="29">
        <v>27</v>
      </c>
      <c r="Q690">
        <v>0</v>
      </c>
      <c r="R690">
        <v>120</v>
      </c>
      <c r="S690" s="26">
        <v>0</v>
      </c>
      <c r="T690" s="25">
        <f>IFERROR(PROPERTIES[[#This Row],[TE_STARTING_KN]]/(PROPERTIES[[#This Row],[WEIGHT]]*9.81),0)</f>
        <v>0</v>
      </c>
      <c r="U690" s="25">
        <v>0.3</v>
      </c>
      <c r="V690" s="22">
        <f>ROUND(IF(IFERROR(PROPERTIES[[#This Row],[TE_COEFFICIENT_CALC]],0)=0,PROPERTIES[[#This Row],[TE_COEFFICIENT_MANUAL]],PROPERTIES[[#This Row],[TE_COEFFICIENT_CALC]]),3)</f>
        <v>0.3</v>
      </c>
      <c r="W690" s="10" cm="1">
        <f t="array" ref="W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0" s="32">
        <v>0</v>
      </c>
      <c r="Y690" s="8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8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9" t="b">
        <v>0</v>
      </c>
      <c r="AY690"/>
      <c r="AZ690"/>
      <c r="BA690"/>
    </row>
    <row r="691" spans="1:53">
      <c r="A691" s="2" t="s">
        <v>824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1" t="str">
        <f>_xlfn.XLOOKUP(PROPERTIES[[#This Row],[COUNTRY]],COUNTRIES[COUNTRY_DESCRIPTION],COUNTRIES[COUNTRY_LABEL],"")</f>
        <v/>
      </c>
      <c r="G691" t="str" cm="1">
        <f t="array" ref="G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1" t="s">
        <v>601</v>
      </c>
      <c r="I691">
        <v>95</v>
      </c>
      <c r="J691">
        <v>8</v>
      </c>
      <c r="K691">
        <v>8</v>
      </c>
      <c r="L691" t="str" cm="1">
        <f t="array" ref="L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1">
        <f>_xlfn.XLOOKUP("LOADINGSPEEDDEF_"&amp;PROPERTIES[[#This Row],[LOADINGSPEED]],LOADINGSPEEDDEF[TYPE],LOADINGSPEEDDEF[SPEED])</f>
        <v>20</v>
      </c>
      <c r="N691" t="str" cm="1">
        <f t="array" ref="N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1">
        <f>IF(ISNUMBER(SEARCH("passenger",PROPERTIES[[#This Row],[CARGODEF]])),1,0)</f>
        <v>0</v>
      </c>
      <c r="P691" s="29">
        <v>24</v>
      </c>
      <c r="Q691">
        <v>0</v>
      </c>
      <c r="R691">
        <v>120</v>
      </c>
      <c r="S691" s="26">
        <v>0</v>
      </c>
      <c r="T691" s="25">
        <f>IFERROR(PROPERTIES[[#This Row],[TE_STARTING_KN]]/(PROPERTIES[[#This Row],[WEIGHT]]*9.81),0)</f>
        <v>0</v>
      </c>
      <c r="U691" s="25">
        <v>0.3</v>
      </c>
      <c r="V691" s="22">
        <f>ROUND(IF(IFERROR(PROPERTIES[[#This Row],[TE_COEFFICIENT_CALC]],0)=0,PROPERTIES[[#This Row],[TE_COEFFICIENT_MANUAL]],PROPERTIES[[#This Row],[TE_COEFFICIENT_CALC]]),3)</f>
        <v>0.3</v>
      </c>
      <c r="W691" s="10" cm="1">
        <f t="array" ref="W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1" s="32">
        <v>0</v>
      </c>
      <c r="Y691" s="8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8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9" t="b">
        <v>0</v>
      </c>
      <c r="AY691"/>
      <c r="AZ691"/>
      <c r="BA691"/>
    </row>
    <row r="692" spans="1:53">
      <c r="A692" s="2" t="s">
        <v>825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2" t="str">
        <f>_xlfn.XLOOKUP(PROPERTIES[[#This Row],[COUNTRY]],COUNTRIES[COUNTRY_DESCRIPTION],COUNTRIES[COUNTRY_LABEL],"")</f>
        <v/>
      </c>
      <c r="G692" t="str" cm="1">
        <f t="array" ref="G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2" t="s">
        <v>596</v>
      </c>
      <c r="I692">
        <v>65</v>
      </c>
      <c r="J692">
        <v>8</v>
      </c>
      <c r="K692">
        <v>8</v>
      </c>
      <c r="L692" t="str" cm="1">
        <f t="array" ref="L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2">
        <f>_xlfn.XLOOKUP("LOADINGSPEEDDEF_"&amp;PROPERTIES[[#This Row],[LOADINGSPEED]],LOADINGSPEEDDEF[TYPE],LOADINGSPEEDDEF[SPEED])</f>
        <v>20</v>
      </c>
      <c r="N692" t="str" cm="1">
        <f t="array" ref="N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2">
        <f>IF(ISNUMBER(SEARCH("passenger",PROPERTIES[[#This Row],[CARGODEF]])),1,0)</f>
        <v>0</v>
      </c>
      <c r="P692" s="29">
        <v>22</v>
      </c>
      <c r="Q692">
        <v>0</v>
      </c>
      <c r="R692">
        <v>120</v>
      </c>
      <c r="S692" s="26">
        <v>0</v>
      </c>
      <c r="T692" s="25">
        <f>IFERROR(PROPERTIES[[#This Row],[TE_STARTING_KN]]/(PROPERTIES[[#This Row],[WEIGHT]]*9.81),0)</f>
        <v>0</v>
      </c>
      <c r="U692" s="25">
        <v>0.3</v>
      </c>
      <c r="V692" s="22">
        <f>ROUND(IF(IFERROR(PROPERTIES[[#This Row],[TE_COEFFICIENT_CALC]],0)=0,PROPERTIES[[#This Row],[TE_COEFFICIENT_MANUAL]],PROPERTIES[[#This Row],[TE_COEFFICIENT_CALC]]),3)</f>
        <v>0.3</v>
      </c>
      <c r="W692" s="10" cm="1">
        <f t="array" ref="W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2" s="32">
        <v>0</v>
      </c>
      <c r="Y692" s="8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8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9" t="b">
        <v>0</v>
      </c>
      <c r="AY692"/>
      <c r="AZ692"/>
      <c r="BA692"/>
    </row>
    <row r="693" spans="1:53">
      <c r="A693" s="2" t="s">
        <v>826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3" t="str">
        <f>_xlfn.XLOOKUP(PROPERTIES[[#This Row],[COUNTRY]],COUNTRIES[COUNTRY_DESCRIPTION],COUNTRIES[COUNTRY_LABEL],"")</f>
        <v/>
      </c>
      <c r="G693" t="str" cm="1">
        <f t="array" ref="G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3" t="s">
        <v>2913</v>
      </c>
      <c r="I693">
        <v>65</v>
      </c>
      <c r="J693">
        <v>8</v>
      </c>
      <c r="K693">
        <v>8</v>
      </c>
      <c r="L693" t="str" cm="1">
        <f t="array" ref="L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3">
        <f>_xlfn.XLOOKUP("LOADINGSPEEDDEF_"&amp;PROPERTIES[[#This Row],[LOADINGSPEED]],LOADINGSPEEDDEF[TYPE],LOADINGSPEEDDEF[SPEED])</f>
        <v>20</v>
      </c>
      <c r="N693" t="str" cm="1">
        <f t="array" ref="N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3">
        <f>IF(ISNUMBER(SEARCH("passenger",PROPERTIES[[#This Row],[CARGODEF]])),1,0)</f>
        <v>0</v>
      </c>
      <c r="P693" s="29">
        <v>27</v>
      </c>
      <c r="Q693">
        <v>0</v>
      </c>
      <c r="R693">
        <v>120</v>
      </c>
      <c r="S693" s="26">
        <v>0</v>
      </c>
      <c r="T693" s="25">
        <f>IFERROR(PROPERTIES[[#This Row],[TE_STARTING_KN]]/(PROPERTIES[[#This Row],[WEIGHT]]*9.81),0)</f>
        <v>0</v>
      </c>
      <c r="U693" s="25">
        <v>0.3</v>
      </c>
      <c r="V693" s="22">
        <f>ROUND(IF(IFERROR(PROPERTIES[[#This Row],[TE_COEFFICIENT_CALC]],0)=0,PROPERTIES[[#This Row],[TE_COEFFICIENT_MANUAL]],PROPERTIES[[#This Row],[TE_COEFFICIENT_CALC]]),3)</f>
        <v>0.3</v>
      </c>
      <c r="W693" s="10" cm="1">
        <f t="array" ref="W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3" s="32">
        <v>0</v>
      </c>
      <c r="Y693" s="8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8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9" t="b">
        <v>0</v>
      </c>
      <c r="AY693"/>
      <c r="AZ693"/>
      <c r="BA693"/>
    </row>
    <row r="694" spans="1:53">
      <c r="A694" s="2" t="s">
        <v>827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4" t="str">
        <f>_xlfn.XLOOKUP(PROPERTIES[[#This Row],[COUNTRY]],COUNTRIES[COUNTRY_DESCRIPTION],COUNTRIES[COUNTRY_LABEL],"")</f>
        <v/>
      </c>
      <c r="G694" t="str" cm="1">
        <f t="array" ref="G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4" t="s">
        <v>2916</v>
      </c>
      <c r="I694">
        <v>65</v>
      </c>
      <c r="J694">
        <v>8</v>
      </c>
      <c r="K694">
        <v>8</v>
      </c>
      <c r="L694" t="str" cm="1">
        <f t="array" ref="L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4">
        <f>_xlfn.XLOOKUP("LOADINGSPEEDDEF_"&amp;PROPERTIES[[#This Row],[LOADINGSPEED]],LOADINGSPEEDDEF[TYPE],LOADINGSPEEDDEF[SPEED])</f>
        <v>20</v>
      </c>
      <c r="N694" t="str" cm="1">
        <f t="array" ref="N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4">
        <f>IF(ISNUMBER(SEARCH("passenger",PROPERTIES[[#This Row],[CARGODEF]])),1,0)</f>
        <v>0</v>
      </c>
      <c r="P694" s="29">
        <v>27</v>
      </c>
      <c r="Q694">
        <v>0</v>
      </c>
      <c r="R694">
        <v>120</v>
      </c>
      <c r="S694" s="26">
        <v>0</v>
      </c>
      <c r="T694" s="25">
        <f>IFERROR(PROPERTIES[[#This Row],[TE_STARTING_KN]]/(PROPERTIES[[#This Row],[WEIGHT]]*9.81),0)</f>
        <v>0</v>
      </c>
      <c r="U694" s="25">
        <v>0.3</v>
      </c>
      <c r="V694" s="22">
        <f>ROUND(IF(IFERROR(PROPERTIES[[#This Row],[TE_COEFFICIENT_CALC]],0)=0,PROPERTIES[[#This Row],[TE_COEFFICIENT_MANUAL]],PROPERTIES[[#This Row],[TE_COEFFICIENT_CALC]]),3)</f>
        <v>0.3</v>
      </c>
      <c r="W694" s="10" cm="1">
        <f t="array" ref="W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4" s="32">
        <v>0</v>
      </c>
      <c r="Y694" s="8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8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9" t="b">
        <v>0</v>
      </c>
      <c r="AY694"/>
      <c r="AZ694"/>
      <c r="BA694"/>
    </row>
    <row r="695" spans="1:53">
      <c r="A695" s="2" t="s">
        <v>828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5" t="str">
        <f>_xlfn.XLOOKUP(PROPERTIES[[#This Row],[COUNTRY]],COUNTRIES[COUNTRY_DESCRIPTION],COUNTRIES[COUNTRY_LABEL],"")</f>
        <v/>
      </c>
      <c r="G695" t="str" cm="1">
        <f t="array" ref="G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5" t="s">
        <v>2912</v>
      </c>
      <c r="I695">
        <v>65</v>
      </c>
      <c r="J695">
        <v>8</v>
      </c>
      <c r="K695">
        <v>8</v>
      </c>
      <c r="L695" t="str" cm="1">
        <f t="array" ref="L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5">
        <f>_xlfn.XLOOKUP("LOADINGSPEEDDEF_"&amp;PROPERTIES[[#This Row],[LOADINGSPEED]],LOADINGSPEEDDEF[TYPE],LOADINGSPEEDDEF[SPEED])</f>
        <v>20</v>
      </c>
      <c r="N695" t="str" cm="1">
        <f t="array" ref="N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5">
        <f>IF(ISNUMBER(SEARCH("passenger",PROPERTIES[[#This Row],[CARGODEF]])),1,0)</f>
        <v>0</v>
      </c>
      <c r="P695" s="29">
        <v>26</v>
      </c>
      <c r="Q695">
        <v>0</v>
      </c>
      <c r="R695">
        <v>120</v>
      </c>
      <c r="S695" s="26">
        <v>0</v>
      </c>
      <c r="T695" s="25">
        <f>IFERROR(PROPERTIES[[#This Row],[TE_STARTING_KN]]/(PROPERTIES[[#This Row],[WEIGHT]]*9.81),0)</f>
        <v>0</v>
      </c>
      <c r="U695" s="25">
        <v>0.3</v>
      </c>
      <c r="V695" s="22">
        <f>ROUND(IF(IFERROR(PROPERTIES[[#This Row],[TE_COEFFICIENT_CALC]],0)=0,PROPERTIES[[#This Row],[TE_COEFFICIENT_MANUAL]],PROPERTIES[[#This Row],[TE_COEFFICIENT_CALC]]),3)</f>
        <v>0.3</v>
      </c>
      <c r="W695" s="10" cm="1">
        <f t="array" ref="W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5" s="32">
        <v>0</v>
      </c>
      <c r="Y695" s="8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8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9" t="b">
        <v>0</v>
      </c>
      <c r="AY695"/>
      <c r="AZ695"/>
      <c r="BA695"/>
    </row>
    <row r="696" spans="1:53">
      <c r="A696" s="2" t="s">
        <v>829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6" t="str">
        <f>_xlfn.XLOOKUP(PROPERTIES[[#This Row],[COUNTRY]],COUNTRIES[COUNTRY_DESCRIPTION],COUNTRIES[COUNTRY_LABEL],"")</f>
        <v/>
      </c>
      <c r="G696" t="str" cm="1">
        <f t="array" ref="G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6" t="s">
        <v>2915</v>
      </c>
      <c r="I696">
        <v>65</v>
      </c>
      <c r="J696">
        <v>8</v>
      </c>
      <c r="K696">
        <v>8</v>
      </c>
      <c r="L696" t="str" cm="1">
        <f t="array" ref="L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6">
        <f>_xlfn.XLOOKUP("LOADINGSPEEDDEF_"&amp;PROPERTIES[[#This Row],[LOADINGSPEED]],LOADINGSPEEDDEF[TYPE],LOADINGSPEEDDEF[SPEED])</f>
        <v>20</v>
      </c>
      <c r="N696" t="str" cm="1">
        <f t="array" ref="N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6">
        <f>IF(ISNUMBER(SEARCH("passenger",PROPERTIES[[#This Row],[CARGODEF]])),1,0)</f>
        <v>0</v>
      </c>
      <c r="P696" s="29">
        <v>26</v>
      </c>
      <c r="Q696">
        <v>0</v>
      </c>
      <c r="R696">
        <v>120</v>
      </c>
      <c r="S696" s="26">
        <v>0</v>
      </c>
      <c r="T696" s="25">
        <f>IFERROR(PROPERTIES[[#This Row],[TE_STARTING_KN]]/(PROPERTIES[[#This Row],[WEIGHT]]*9.81),0)</f>
        <v>0</v>
      </c>
      <c r="U696" s="25">
        <v>0.3</v>
      </c>
      <c r="V696" s="22">
        <f>ROUND(IF(IFERROR(PROPERTIES[[#This Row],[TE_COEFFICIENT_CALC]],0)=0,PROPERTIES[[#This Row],[TE_COEFFICIENT_MANUAL]],PROPERTIES[[#This Row],[TE_COEFFICIENT_CALC]]),3)</f>
        <v>0.3</v>
      </c>
      <c r="W696" s="10" cm="1">
        <f t="array" ref="W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6" s="32">
        <v>0</v>
      </c>
      <c r="Y696" s="8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8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9" t="b">
        <v>0</v>
      </c>
      <c r="AY696"/>
      <c r="AZ696"/>
      <c r="BA696"/>
    </row>
    <row r="697" spans="1:53">
      <c r="A697" s="2" t="s">
        <v>830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7" t="str">
        <f>_xlfn.XLOOKUP(PROPERTIES[[#This Row],[COUNTRY]],COUNTRIES[COUNTRY_DESCRIPTION],COUNTRIES[COUNTRY_LABEL],"")</f>
        <v/>
      </c>
      <c r="G697" t="str" cm="1">
        <f t="array" ref="G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7" t="s">
        <v>592</v>
      </c>
      <c r="I697">
        <v>16</v>
      </c>
      <c r="J697">
        <v>8</v>
      </c>
      <c r="K697">
        <v>8</v>
      </c>
      <c r="L697" t="str" cm="1">
        <f t="array" ref="L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7">
        <f>_xlfn.XLOOKUP("LOADINGSPEEDDEF_"&amp;PROPERTIES[[#This Row],[LOADINGSPEED]],LOADINGSPEEDDEF[TYPE],LOADINGSPEEDDEF[SPEED])</f>
        <v>20</v>
      </c>
      <c r="N697" t="str" cm="1">
        <f t="array" ref="N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7">
        <f>IF(ISNUMBER(SEARCH("passenger",PROPERTIES[[#This Row],[CARGODEF]])),1,0)</f>
        <v>0</v>
      </c>
      <c r="P697" s="29">
        <v>28</v>
      </c>
      <c r="Q697">
        <v>0</v>
      </c>
      <c r="R697">
        <v>160</v>
      </c>
      <c r="S697" s="26">
        <v>0</v>
      </c>
      <c r="T697" s="25">
        <f>IFERROR(PROPERTIES[[#This Row],[TE_STARTING_KN]]/(PROPERTIES[[#This Row],[WEIGHT]]*9.81),0)</f>
        <v>0</v>
      </c>
      <c r="U697" s="25">
        <v>0.3</v>
      </c>
      <c r="V697" s="22">
        <f>ROUND(IF(IFERROR(PROPERTIES[[#This Row],[TE_COEFFICIENT_CALC]],0)=0,PROPERTIES[[#This Row],[TE_COEFFICIENT_MANUAL]],PROPERTIES[[#This Row],[TE_COEFFICIENT_CALC]]),3)</f>
        <v>0.3</v>
      </c>
      <c r="W697" s="10" cm="1">
        <f t="array" ref="W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7" s="32">
        <v>0</v>
      </c>
      <c r="Y697" s="8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8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9" t="b">
        <v>0</v>
      </c>
      <c r="AY697"/>
      <c r="AZ697"/>
      <c r="BA697"/>
    </row>
    <row r="698" spans="1:53">
      <c r="A698" s="2" t="s">
        <v>831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8" t="str">
        <f>_xlfn.XLOOKUP(PROPERTIES[[#This Row],[COUNTRY]],COUNTRIES[COUNTRY_DESCRIPTION],COUNTRIES[COUNTRY_LABEL],"")</f>
        <v/>
      </c>
      <c r="G698" t="str" cm="1">
        <f t="array" ref="G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8" t="s">
        <v>526</v>
      </c>
      <c r="I698">
        <v>50</v>
      </c>
      <c r="J698">
        <v>8</v>
      </c>
      <c r="K698">
        <v>8</v>
      </c>
      <c r="L698" t="str" cm="1">
        <f t="array" ref="L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8">
        <f>_xlfn.XLOOKUP("LOADINGSPEEDDEF_"&amp;PROPERTIES[[#This Row],[LOADINGSPEED]],LOADINGSPEEDDEF[TYPE],LOADINGSPEEDDEF[SPEED])</f>
        <v>20</v>
      </c>
      <c r="N698" t="str" cm="1">
        <f t="array" ref="N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8">
        <f>IF(ISNUMBER(SEARCH("passenger",PROPERTIES[[#This Row],[CARGODEF]])),1,0)</f>
        <v>0</v>
      </c>
      <c r="P698" s="29">
        <v>22</v>
      </c>
      <c r="Q698">
        <v>0</v>
      </c>
      <c r="R698">
        <v>160</v>
      </c>
      <c r="S698" s="26">
        <v>0</v>
      </c>
      <c r="T698" s="25">
        <f>IFERROR(PROPERTIES[[#This Row],[TE_STARTING_KN]]/(PROPERTIES[[#This Row],[WEIGHT]]*9.81),0)</f>
        <v>0</v>
      </c>
      <c r="U698" s="25">
        <v>0.3</v>
      </c>
      <c r="V698" s="22">
        <f>ROUND(IF(IFERROR(PROPERTIES[[#This Row],[TE_COEFFICIENT_CALC]],0)=0,PROPERTIES[[#This Row],[TE_COEFFICIENT_MANUAL]],PROPERTIES[[#This Row],[TE_COEFFICIENT_CALC]]),3)</f>
        <v>0.3</v>
      </c>
      <c r="W698" s="10" cm="1">
        <f t="array" ref="W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8" s="32">
        <v>0</v>
      </c>
      <c r="Y698" s="8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8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9" t="b">
        <v>0</v>
      </c>
      <c r="AY698"/>
      <c r="AZ698"/>
      <c r="BA698"/>
    </row>
    <row r="699" spans="1:53">
      <c r="A699" s="2" t="s">
        <v>832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9" t="str">
        <f>_xlfn.XLOOKUP(PROPERTIES[[#This Row],[COUNTRY]],COUNTRIES[COUNTRY_DESCRIPTION],COUNTRIES[COUNTRY_LABEL],"")</f>
        <v/>
      </c>
      <c r="G699" t="str" cm="1">
        <f t="array" ref="G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9" t="s">
        <v>593</v>
      </c>
      <c r="I699">
        <v>55</v>
      </c>
      <c r="J699">
        <v>8</v>
      </c>
      <c r="K699">
        <v>8</v>
      </c>
      <c r="L699" t="str" cm="1">
        <f t="array" ref="L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9">
        <f>_xlfn.XLOOKUP("LOADINGSPEEDDEF_"&amp;PROPERTIES[[#This Row],[LOADINGSPEED]],LOADINGSPEEDDEF[TYPE],LOADINGSPEEDDEF[SPEED])</f>
        <v>20</v>
      </c>
      <c r="N699" t="str" cm="1">
        <f t="array" ref="N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9">
        <f>IF(ISNUMBER(SEARCH("passenger",PROPERTIES[[#This Row],[CARGODEF]])),1,0)</f>
        <v>0</v>
      </c>
      <c r="P699" s="29">
        <v>40</v>
      </c>
      <c r="Q699">
        <v>0</v>
      </c>
      <c r="R699">
        <v>120</v>
      </c>
      <c r="S699" s="26">
        <v>0</v>
      </c>
      <c r="T699" s="25">
        <f>IFERROR(PROPERTIES[[#This Row],[TE_STARTING_KN]]/(PROPERTIES[[#This Row],[WEIGHT]]*9.81),0)</f>
        <v>0</v>
      </c>
      <c r="U699" s="25">
        <v>0.3</v>
      </c>
      <c r="V699" s="22">
        <f>ROUND(IF(IFERROR(PROPERTIES[[#This Row],[TE_COEFFICIENT_CALC]],0)=0,PROPERTIES[[#This Row],[TE_COEFFICIENT_MANUAL]],PROPERTIES[[#This Row],[TE_COEFFICIENT_CALC]]),3)</f>
        <v>0.3</v>
      </c>
      <c r="W699" s="10" cm="1">
        <f t="array" ref="W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9" s="32">
        <v>0</v>
      </c>
      <c r="Y699" s="8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8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9" t="b">
        <v>0</v>
      </c>
      <c r="AY699"/>
      <c r="AZ699"/>
      <c r="BA699"/>
    </row>
    <row r="700" spans="1:53">
      <c r="A700" s="2" t="s">
        <v>833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0" t="str">
        <f>_xlfn.XLOOKUP(PROPERTIES[[#This Row],[COUNTRY]],COUNTRIES[COUNTRY_DESCRIPTION],COUNTRIES[COUNTRY_LABEL],"")</f>
        <v/>
      </c>
      <c r="G700" t="str" cm="1">
        <f t="array" ref="G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0" t="s">
        <v>594</v>
      </c>
      <c r="I700">
        <v>65</v>
      </c>
      <c r="J700">
        <v>8</v>
      </c>
      <c r="K700">
        <v>8</v>
      </c>
      <c r="L700" t="str" cm="1">
        <f t="array" ref="L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0">
        <f>_xlfn.XLOOKUP("LOADINGSPEEDDEF_"&amp;PROPERTIES[[#This Row],[LOADINGSPEED]],LOADINGSPEEDDEF[TYPE],LOADINGSPEEDDEF[SPEED])</f>
        <v>20</v>
      </c>
      <c r="N700" cm="1">
        <f t="array" ref="N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00">
        <f>IF(ISNUMBER(SEARCH("passenger",PROPERTIES[[#This Row],[CARGODEF]])),1,0)</f>
        <v>0</v>
      </c>
      <c r="P700" s="29">
        <v>25</v>
      </c>
      <c r="Q700">
        <v>0</v>
      </c>
      <c r="R700">
        <v>120</v>
      </c>
      <c r="S700" s="26">
        <v>0</v>
      </c>
      <c r="T700" s="25">
        <f>IFERROR(PROPERTIES[[#This Row],[TE_STARTING_KN]]/(PROPERTIES[[#This Row],[WEIGHT]]*9.81),0)</f>
        <v>0</v>
      </c>
      <c r="U700" s="25">
        <v>0.3</v>
      </c>
      <c r="V700" s="22">
        <f>ROUND(IF(IFERROR(PROPERTIES[[#This Row],[TE_COEFFICIENT_CALC]],0)=0,PROPERTIES[[#This Row],[TE_COEFFICIENT_MANUAL]],PROPERTIES[[#This Row],[TE_COEFFICIENT_CALC]]),3)</f>
        <v>0.3</v>
      </c>
      <c r="W700" s="10" cm="1">
        <f t="array" ref="W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0" s="32">
        <v>0</v>
      </c>
      <c r="Y700" s="8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8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9" t="b">
        <v>0</v>
      </c>
      <c r="AY700"/>
      <c r="AZ700"/>
      <c r="BA700"/>
    </row>
    <row r="701" spans="1:53">
      <c r="A701" s="2" t="s">
        <v>834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1" t="str">
        <f>_xlfn.XLOOKUP(PROPERTIES[[#This Row],[COUNTRY]],COUNTRIES[COUNTRY_DESCRIPTION],COUNTRIES[COUNTRY_LABEL],"")</f>
        <v/>
      </c>
      <c r="G701" t="str" cm="1">
        <f t="array" ref="G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1" t="s">
        <v>600</v>
      </c>
      <c r="I701">
        <v>50</v>
      </c>
      <c r="J701">
        <v>4</v>
      </c>
      <c r="K701">
        <v>12</v>
      </c>
      <c r="L701" t="str" cm="1">
        <f t="array" ref="L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1">
        <f>_xlfn.XLOOKUP("LOADINGSPEEDDEF_"&amp;PROPERTIES[[#This Row],[LOADINGSPEED]],LOADINGSPEEDDEF[TYPE],LOADINGSPEEDDEF[SPEED])</f>
        <v>20</v>
      </c>
      <c r="N701" t="str" cm="1">
        <f t="array" ref="N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1">
        <f>IF(ISNUMBER(SEARCH("passenger",PROPERTIES[[#This Row],[CARGODEF]])),1,0)</f>
        <v>0</v>
      </c>
      <c r="P701" s="29">
        <v>50</v>
      </c>
      <c r="Q701">
        <v>0</v>
      </c>
      <c r="R701">
        <v>100</v>
      </c>
      <c r="S701" s="26">
        <v>0</v>
      </c>
      <c r="T701" s="25">
        <f>IFERROR(PROPERTIES[[#This Row],[TE_STARTING_KN]]/(PROPERTIES[[#This Row],[WEIGHT]]*9.81),0)</f>
        <v>0</v>
      </c>
      <c r="U701" s="25">
        <v>0.3</v>
      </c>
      <c r="V701" s="22">
        <f>ROUND(IF(IFERROR(PROPERTIES[[#This Row],[TE_COEFFICIENT_CALC]],0)=0,PROPERTIES[[#This Row],[TE_COEFFICIENT_MANUAL]],PROPERTIES[[#This Row],[TE_COEFFICIENT_CALC]]),3)</f>
        <v>0.3</v>
      </c>
      <c r="W701" s="10" cm="1">
        <f t="array" ref="W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1" s="32">
        <v>0</v>
      </c>
      <c r="Y701" s="8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8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9" t="b">
        <v>0</v>
      </c>
      <c r="AY701"/>
      <c r="AZ701"/>
      <c r="BA701"/>
    </row>
    <row r="702" spans="1:53">
      <c r="A702" s="2" t="s">
        <v>835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2" t="str">
        <f>_xlfn.XLOOKUP(PROPERTIES[[#This Row],[COUNTRY]],COUNTRIES[COUNTRY_DESCRIPTION],COUNTRIES[COUNTRY_LABEL],"")</f>
        <v/>
      </c>
      <c r="G702" t="str" cm="1">
        <f t="array" ref="G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2" t="s">
        <v>595</v>
      </c>
      <c r="I702">
        <v>72</v>
      </c>
      <c r="J702">
        <v>8</v>
      </c>
      <c r="K702">
        <v>8</v>
      </c>
      <c r="L702" t="str" cm="1">
        <f t="array" ref="L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2">
        <f>_xlfn.XLOOKUP("LOADINGSPEEDDEF_"&amp;PROPERTIES[[#This Row],[LOADINGSPEED]],LOADINGSPEEDDEF[TYPE],LOADINGSPEEDDEF[SPEED])</f>
        <v>20</v>
      </c>
      <c r="N702" t="str" cm="1">
        <f t="array" ref="N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2">
        <f>IF(ISNUMBER(SEARCH("passenger",PROPERTIES[[#This Row],[CARGODEF]])),1,0)</f>
        <v>0</v>
      </c>
      <c r="P702" s="29">
        <v>23</v>
      </c>
      <c r="Q702">
        <v>0</v>
      </c>
      <c r="R702">
        <v>160</v>
      </c>
      <c r="S702" s="26">
        <v>0</v>
      </c>
      <c r="T702" s="25">
        <f>IFERROR(PROPERTIES[[#This Row],[TE_STARTING_KN]]/(PROPERTIES[[#This Row],[WEIGHT]]*9.81),0)</f>
        <v>0</v>
      </c>
      <c r="U702" s="25">
        <v>0.3</v>
      </c>
      <c r="V702" s="22">
        <f>ROUND(IF(IFERROR(PROPERTIES[[#This Row],[TE_COEFFICIENT_CALC]],0)=0,PROPERTIES[[#This Row],[TE_COEFFICIENT_MANUAL]],PROPERTIES[[#This Row],[TE_COEFFICIENT_CALC]]),3)</f>
        <v>0.3</v>
      </c>
      <c r="W702" s="10" cm="1">
        <f t="array" ref="W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2" s="32">
        <v>0</v>
      </c>
      <c r="Y702" s="8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8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9" t="b">
        <v>0</v>
      </c>
      <c r="AY702"/>
      <c r="AZ702"/>
      <c r="BA702"/>
    </row>
    <row r="703" spans="1:53">
      <c r="A703" s="2" t="s">
        <v>836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3" t="str">
        <f>_xlfn.XLOOKUP(PROPERTIES[[#This Row],[COUNTRY]],COUNTRIES[COUNTRY_DESCRIPTION],COUNTRIES[COUNTRY_LABEL],"")</f>
        <v/>
      </c>
      <c r="G703" t="str" cm="1">
        <f t="array" ref="G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3" t="s">
        <v>597</v>
      </c>
      <c r="I703">
        <v>96</v>
      </c>
      <c r="J703">
        <v>8</v>
      </c>
      <c r="K703">
        <v>8</v>
      </c>
      <c r="L703" t="str" cm="1">
        <f t="array" ref="L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3">
        <f>_xlfn.XLOOKUP("LOADINGSPEEDDEF_"&amp;PROPERTIES[[#This Row],[LOADINGSPEED]],LOADINGSPEEDDEF[TYPE],LOADINGSPEEDDEF[SPEED])</f>
        <v>20</v>
      </c>
      <c r="N703" t="str" cm="1">
        <f t="array" ref="N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3">
        <f>IF(ISNUMBER(SEARCH("passenger",PROPERTIES[[#This Row],[CARGODEF]])),1,0)</f>
        <v>0</v>
      </c>
      <c r="P703" s="29">
        <v>42</v>
      </c>
      <c r="Q703">
        <v>0</v>
      </c>
      <c r="R703">
        <v>140</v>
      </c>
      <c r="S703" s="26">
        <v>0</v>
      </c>
      <c r="T703" s="25">
        <f>IFERROR(PROPERTIES[[#This Row],[TE_STARTING_KN]]/(PROPERTIES[[#This Row],[WEIGHT]]*9.81),0)</f>
        <v>0</v>
      </c>
      <c r="U703" s="25">
        <v>0.3</v>
      </c>
      <c r="V703" s="22">
        <f>ROUND(IF(IFERROR(PROPERTIES[[#This Row],[TE_COEFFICIENT_CALC]],0)=0,PROPERTIES[[#This Row],[TE_COEFFICIENT_MANUAL]],PROPERTIES[[#This Row],[TE_COEFFICIENT_CALC]]),3)</f>
        <v>0.3</v>
      </c>
      <c r="W703" s="10" cm="1">
        <f t="array" ref="W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3" s="32">
        <v>0</v>
      </c>
      <c r="Y703" s="8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8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9" t="b">
        <v>0</v>
      </c>
      <c r="AY703"/>
      <c r="AZ703"/>
      <c r="BA703"/>
    </row>
    <row r="704" spans="1:53">
      <c r="A704" s="2" t="s">
        <v>837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4" t="str">
        <f>_xlfn.XLOOKUP(PROPERTIES[[#This Row],[COUNTRY]],COUNTRIES[COUNTRY_DESCRIPTION],COUNTRIES[COUNTRY_LABEL],"")</f>
        <v/>
      </c>
      <c r="G704" t="str" cm="1">
        <f t="array" ref="G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4" t="s">
        <v>2911</v>
      </c>
      <c r="I704">
        <v>74</v>
      </c>
      <c r="J704">
        <v>8</v>
      </c>
      <c r="K704">
        <v>8</v>
      </c>
      <c r="L704" t="str" cm="1">
        <f t="array" ref="L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4">
        <f>_xlfn.XLOOKUP("LOADINGSPEEDDEF_"&amp;PROPERTIES[[#This Row],[LOADINGSPEED]],LOADINGSPEEDDEF[TYPE],LOADINGSPEEDDEF[SPEED])</f>
        <v>20</v>
      </c>
      <c r="N704" t="str" cm="1">
        <f t="array" ref="N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4">
        <f>IF(ISNUMBER(SEARCH("passenger",PROPERTIES[[#This Row],[CARGODEF]])),1,0)</f>
        <v>0</v>
      </c>
      <c r="P704" s="29">
        <v>27</v>
      </c>
      <c r="Q704">
        <v>0</v>
      </c>
      <c r="R704">
        <v>160</v>
      </c>
      <c r="S704" s="26">
        <v>0</v>
      </c>
      <c r="T704" s="25">
        <f>IFERROR(PROPERTIES[[#This Row],[TE_STARTING_KN]]/(PROPERTIES[[#This Row],[WEIGHT]]*9.81),0)</f>
        <v>0</v>
      </c>
      <c r="U704" s="25">
        <v>0.3</v>
      </c>
      <c r="V704" s="22">
        <f>ROUND(IF(IFERROR(PROPERTIES[[#This Row],[TE_COEFFICIENT_CALC]],0)=0,PROPERTIES[[#This Row],[TE_COEFFICIENT_MANUAL]],PROPERTIES[[#This Row],[TE_COEFFICIENT_CALC]]),3)</f>
        <v>0.3</v>
      </c>
      <c r="W704" s="10" cm="1">
        <f t="array" ref="W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4" s="32">
        <v>0</v>
      </c>
      <c r="Y704" s="8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8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9" t="b">
        <v>0</v>
      </c>
      <c r="AY704"/>
      <c r="AZ704"/>
      <c r="BA704"/>
    </row>
    <row r="705" spans="1:53">
      <c r="A705" s="2" t="s">
        <v>838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5" t="str">
        <f>_xlfn.XLOOKUP(PROPERTIES[[#This Row],[COUNTRY]],COUNTRIES[COUNTRY_DESCRIPTION],COUNTRIES[COUNTRY_LABEL],"")</f>
        <v/>
      </c>
      <c r="G705" t="str" cm="1">
        <f t="array" ref="G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5" t="s">
        <v>2914</v>
      </c>
      <c r="I705">
        <v>74</v>
      </c>
      <c r="J705">
        <v>8</v>
      </c>
      <c r="K705">
        <v>8</v>
      </c>
      <c r="L705" t="str" cm="1">
        <f t="array" ref="L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5">
        <f>_xlfn.XLOOKUP("LOADINGSPEEDDEF_"&amp;PROPERTIES[[#This Row],[LOADINGSPEED]],LOADINGSPEEDDEF[TYPE],LOADINGSPEEDDEF[SPEED])</f>
        <v>20</v>
      </c>
      <c r="N705" t="str" cm="1">
        <f t="array" ref="N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5">
        <f>IF(ISNUMBER(SEARCH("passenger",PROPERTIES[[#This Row],[CARGODEF]])),1,0)</f>
        <v>0</v>
      </c>
      <c r="P705" s="29">
        <v>27</v>
      </c>
      <c r="Q705">
        <v>0</v>
      </c>
      <c r="R705">
        <v>160</v>
      </c>
      <c r="S705" s="26">
        <v>0</v>
      </c>
      <c r="T705" s="25">
        <f>IFERROR(PROPERTIES[[#This Row],[TE_STARTING_KN]]/(PROPERTIES[[#This Row],[WEIGHT]]*9.81),0)</f>
        <v>0</v>
      </c>
      <c r="U705" s="25">
        <v>0.3</v>
      </c>
      <c r="V705" s="22">
        <f>ROUND(IF(IFERROR(PROPERTIES[[#This Row],[TE_COEFFICIENT_CALC]],0)=0,PROPERTIES[[#This Row],[TE_COEFFICIENT_MANUAL]],PROPERTIES[[#This Row],[TE_COEFFICIENT_CALC]]),3)</f>
        <v>0.3</v>
      </c>
      <c r="W705" s="10" cm="1">
        <f t="array" ref="W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5" s="32">
        <v>0</v>
      </c>
      <c r="Y705" s="8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8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9" t="b">
        <v>0</v>
      </c>
      <c r="AY705"/>
      <c r="AZ705"/>
      <c r="BA705"/>
    </row>
    <row r="706" spans="1:53">
      <c r="A706" s="2" t="s">
        <v>839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6" t="str">
        <f>_xlfn.XLOOKUP(PROPERTIES[[#This Row],[COUNTRY]],COUNTRIES[COUNTRY_DESCRIPTION],COUNTRIES[COUNTRY_LABEL],"")</f>
        <v/>
      </c>
      <c r="G706" t="str" cm="1">
        <f t="array" ref="G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6" t="s">
        <v>601</v>
      </c>
      <c r="I706">
        <v>105</v>
      </c>
      <c r="J706">
        <v>8</v>
      </c>
      <c r="K706">
        <v>8</v>
      </c>
      <c r="L706" t="str" cm="1">
        <f t="array" ref="L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6">
        <f>_xlfn.XLOOKUP("LOADINGSPEEDDEF_"&amp;PROPERTIES[[#This Row],[LOADINGSPEED]],LOADINGSPEEDDEF[TYPE],LOADINGSPEEDDEF[SPEED])</f>
        <v>20</v>
      </c>
      <c r="N706" t="str" cm="1">
        <f t="array" ref="N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6">
        <f>IF(ISNUMBER(SEARCH("passenger",PROPERTIES[[#This Row],[CARGODEF]])),1,0)</f>
        <v>0</v>
      </c>
      <c r="P706" s="29">
        <v>24</v>
      </c>
      <c r="Q706">
        <v>0</v>
      </c>
      <c r="R706">
        <v>160</v>
      </c>
      <c r="S706" s="26">
        <v>0</v>
      </c>
      <c r="T706" s="25">
        <f>IFERROR(PROPERTIES[[#This Row],[TE_STARTING_KN]]/(PROPERTIES[[#This Row],[WEIGHT]]*9.81),0)</f>
        <v>0</v>
      </c>
      <c r="U706" s="25">
        <v>0.3</v>
      </c>
      <c r="V706" s="22">
        <f>ROUND(IF(IFERROR(PROPERTIES[[#This Row],[TE_COEFFICIENT_CALC]],0)=0,PROPERTIES[[#This Row],[TE_COEFFICIENT_MANUAL]],PROPERTIES[[#This Row],[TE_COEFFICIENT_CALC]]),3)</f>
        <v>0.3</v>
      </c>
      <c r="W706" s="10" cm="1">
        <f t="array" ref="W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6" s="32">
        <v>0</v>
      </c>
      <c r="Y706" s="8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8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9" t="b">
        <v>0</v>
      </c>
      <c r="AY706"/>
      <c r="AZ706"/>
      <c r="BA706"/>
    </row>
    <row r="707" spans="1:53">
      <c r="A707" s="2" t="s">
        <v>840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7" t="str">
        <f>_xlfn.XLOOKUP(PROPERTIES[[#This Row],[COUNTRY]],COUNTRIES[COUNTRY_DESCRIPTION],COUNTRIES[COUNTRY_LABEL],"")</f>
        <v/>
      </c>
      <c r="G707" t="str" cm="1">
        <f t="array" ref="G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7" t="s">
        <v>596</v>
      </c>
      <c r="I707">
        <v>75</v>
      </c>
      <c r="J707">
        <v>8</v>
      </c>
      <c r="K707">
        <v>8</v>
      </c>
      <c r="L707" t="str" cm="1">
        <f t="array" ref="L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7">
        <f>_xlfn.XLOOKUP("LOADINGSPEEDDEF_"&amp;PROPERTIES[[#This Row],[LOADINGSPEED]],LOADINGSPEEDDEF[TYPE],LOADINGSPEEDDEF[SPEED])</f>
        <v>20</v>
      </c>
      <c r="N707" t="str" cm="1">
        <f t="array" ref="N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7">
        <f>IF(ISNUMBER(SEARCH("passenger",PROPERTIES[[#This Row],[CARGODEF]])),1,0)</f>
        <v>0</v>
      </c>
      <c r="P707" s="29">
        <v>22</v>
      </c>
      <c r="Q707">
        <v>0</v>
      </c>
      <c r="R707">
        <v>160</v>
      </c>
      <c r="S707" s="26">
        <v>0</v>
      </c>
      <c r="T707" s="25">
        <f>IFERROR(PROPERTIES[[#This Row],[TE_STARTING_KN]]/(PROPERTIES[[#This Row],[WEIGHT]]*9.81),0)</f>
        <v>0</v>
      </c>
      <c r="U707" s="25">
        <v>0.3</v>
      </c>
      <c r="V707" s="22">
        <f>ROUND(IF(IFERROR(PROPERTIES[[#This Row],[TE_COEFFICIENT_CALC]],0)=0,PROPERTIES[[#This Row],[TE_COEFFICIENT_MANUAL]],PROPERTIES[[#This Row],[TE_COEFFICIENT_CALC]]),3)</f>
        <v>0.3</v>
      </c>
      <c r="W707" s="10" cm="1">
        <f t="array" ref="W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7" s="32">
        <v>0</v>
      </c>
      <c r="Y707" s="8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8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9" t="b">
        <v>0</v>
      </c>
      <c r="AY707"/>
      <c r="AZ707"/>
      <c r="BA707"/>
    </row>
    <row r="708" spans="1:53">
      <c r="A708" s="2" t="s">
        <v>841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8" t="str">
        <f>_xlfn.XLOOKUP(PROPERTIES[[#This Row],[COUNTRY]],COUNTRIES[COUNTRY_DESCRIPTION],COUNTRIES[COUNTRY_LABEL],"")</f>
        <v/>
      </c>
      <c r="G708" t="str" cm="1">
        <f t="array" ref="G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8" t="s">
        <v>2913</v>
      </c>
      <c r="I708">
        <v>75</v>
      </c>
      <c r="J708">
        <v>8</v>
      </c>
      <c r="K708">
        <v>8</v>
      </c>
      <c r="L708" t="str" cm="1">
        <f t="array" ref="L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8">
        <f>_xlfn.XLOOKUP("LOADINGSPEEDDEF_"&amp;PROPERTIES[[#This Row],[LOADINGSPEED]],LOADINGSPEEDDEF[TYPE],LOADINGSPEEDDEF[SPEED])</f>
        <v>20</v>
      </c>
      <c r="N708" t="str" cm="1">
        <f t="array" ref="N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8">
        <f>IF(ISNUMBER(SEARCH("passenger",PROPERTIES[[#This Row],[CARGODEF]])),1,0)</f>
        <v>0</v>
      </c>
      <c r="P708" s="29">
        <v>27</v>
      </c>
      <c r="Q708">
        <v>0</v>
      </c>
      <c r="R708">
        <v>160</v>
      </c>
      <c r="S708" s="26">
        <v>0</v>
      </c>
      <c r="T708" s="25">
        <f>IFERROR(PROPERTIES[[#This Row],[TE_STARTING_KN]]/(PROPERTIES[[#This Row],[WEIGHT]]*9.81),0)</f>
        <v>0</v>
      </c>
      <c r="U708" s="25">
        <v>0.3</v>
      </c>
      <c r="V708" s="22">
        <f>ROUND(IF(IFERROR(PROPERTIES[[#This Row],[TE_COEFFICIENT_CALC]],0)=0,PROPERTIES[[#This Row],[TE_COEFFICIENT_MANUAL]],PROPERTIES[[#This Row],[TE_COEFFICIENT_CALC]]),3)</f>
        <v>0.3</v>
      </c>
      <c r="W708" s="10" cm="1">
        <f t="array" ref="W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8" s="32">
        <v>0</v>
      </c>
      <c r="Y708" s="8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8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9" t="b">
        <v>0</v>
      </c>
      <c r="AY708"/>
      <c r="AZ708"/>
      <c r="BA708"/>
    </row>
    <row r="709" spans="1:53">
      <c r="A709" s="2" t="s">
        <v>842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9" t="str">
        <f>_xlfn.XLOOKUP(PROPERTIES[[#This Row],[COUNTRY]],COUNTRIES[COUNTRY_DESCRIPTION],COUNTRIES[COUNTRY_LABEL],"")</f>
        <v/>
      </c>
      <c r="G709" t="str" cm="1">
        <f t="array" ref="G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9" t="s">
        <v>2916</v>
      </c>
      <c r="I709">
        <v>75</v>
      </c>
      <c r="J709">
        <v>8</v>
      </c>
      <c r="K709">
        <v>8</v>
      </c>
      <c r="L709" t="str" cm="1">
        <f t="array" ref="L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9">
        <f>_xlfn.XLOOKUP("LOADINGSPEEDDEF_"&amp;PROPERTIES[[#This Row],[LOADINGSPEED]],LOADINGSPEEDDEF[TYPE],LOADINGSPEEDDEF[SPEED])</f>
        <v>20</v>
      </c>
      <c r="N709" t="str" cm="1">
        <f t="array" ref="N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9">
        <f>IF(ISNUMBER(SEARCH("passenger",PROPERTIES[[#This Row],[CARGODEF]])),1,0)</f>
        <v>0</v>
      </c>
      <c r="P709" s="29">
        <v>27</v>
      </c>
      <c r="Q709">
        <v>0</v>
      </c>
      <c r="R709">
        <v>160</v>
      </c>
      <c r="S709" s="26">
        <v>0</v>
      </c>
      <c r="T709" s="25">
        <f>IFERROR(PROPERTIES[[#This Row],[TE_STARTING_KN]]/(PROPERTIES[[#This Row],[WEIGHT]]*9.81),0)</f>
        <v>0</v>
      </c>
      <c r="U709" s="25">
        <v>0.3</v>
      </c>
      <c r="V709" s="22">
        <f>ROUND(IF(IFERROR(PROPERTIES[[#This Row],[TE_COEFFICIENT_CALC]],0)=0,PROPERTIES[[#This Row],[TE_COEFFICIENT_MANUAL]],PROPERTIES[[#This Row],[TE_COEFFICIENT_CALC]]),3)</f>
        <v>0.3</v>
      </c>
      <c r="W709" s="10" cm="1">
        <f t="array" ref="W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9" s="32">
        <v>0</v>
      </c>
      <c r="Y709" s="8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8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9" t="b">
        <v>0</v>
      </c>
      <c r="AY709"/>
      <c r="AZ709"/>
      <c r="BA709"/>
    </row>
    <row r="710" spans="1:53">
      <c r="A710" s="2" t="s">
        <v>843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0" t="str">
        <f>_xlfn.XLOOKUP(PROPERTIES[[#This Row],[COUNTRY]],COUNTRIES[COUNTRY_DESCRIPTION],COUNTRIES[COUNTRY_LABEL],"")</f>
        <v/>
      </c>
      <c r="G710" t="str" cm="1">
        <f t="array" ref="G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0" t="s">
        <v>2912</v>
      </c>
      <c r="I710">
        <v>75</v>
      </c>
      <c r="J710">
        <v>8</v>
      </c>
      <c r="K710">
        <v>8</v>
      </c>
      <c r="L710" t="str" cm="1">
        <f t="array" ref="L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0">
        <f>_xlfn.XLOOKUP("LOADINGSPEEDDEF_"&amp;PROPERTIES[[#This Row],[LOADINGSPEED]],LOADINGSPEEDDEF[TYPE],LOADINGSPEEDDEF[SPEED])</f>
        <v>20</v>
      </c>
      <c r="N710" t="str" cm="1">
        <f t="array" ref="N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0">
        <f>IF(ISNUMBER(SEARCH("passenger",PROPERTIES[[#This Row],[CARGODEF]])),1,0)</f>
        <v>0</v>
      </c>
      <c r="P710" s="29">
        <v>26</v>
      </c>
      <c r="Q710">
        <v>0</v>
      </c>
      <c r="R710">
        <v>160</v>
      </c>
      <c r="S710" s="26">
        <v>0</v>
      </c>
      <c r="T710" s="25">
        <f>IFERROR(PROPERTIES[[#This Row],[TE_STARTING_KN]]/(PROPERTIES[[#This Row],[WEIGHT]]*9.81),0)</f>
        <v>0</v>
      </c>
      <c r="U710" s="25">
        <v>0.3</v>
      </c>
      <c r="V710" s="22">
        <f>ROUND(IF(IFERROR(PROPERTIES[[#This Row],[TE_COEFFICIENT_CALC]],0)=0,PROPERTIES[[#This Row],[TE_COEFFICIENT_MANUAL]],PROPERTIES[[#This Row],[TE_COEFFICIENT_CALC]]),3)</f>
        <v>0.3</v>
      </c>
      <c r="W710" s="10" cm="1">
        <f t="array" ref="W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0" s="32">
        <v>0</v>
      </c>
      <c r="Y710" s="8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8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9" t="b">
        <v>0</v>
      </c>
      <c r="AY710"/>
      <c r="AZ710"/>
      <c r="BA710"/>
    </row>
    <row r="711" spans="1:53">
      <c r="A711" s="2" t="s">
        <v>844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1" t="str">
        <f>_xlfn.XLOOKUP(PROPERTIES[[#This Row],[COUNTRY]],COUNTRIES[COUNTRY_DESCRIPTION],COUNTRIES[COUNTRY_LABEL],"")</f>
        <v/>
      </c>
      <c r="G711" t="str" cm="1">
        <f t="array" ref="G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1" t="s">
        <v>2915</v>
      </c>
      <c r="I711">
        <v>75</v>
      </c>
      <c r="J711">
        <v>8</v>
      </c>
      <c r="K711">
        <v>8</v>
      </c>
      <c r="L711" t="str" cm="1">
        <f t="array" ref="L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1">
        <f>_xlfn.XLOOKUP("LOADINGSPEEDDEF_"&amp;PROPERTIES[[#This Row],[LOADINGSPEED]],LOADINGSPEEDDEF[TYPE],LOADINGSPEEDDEF[SPEED])</f>
        <v>20</v>
      </c>
      <c r="N711" t="str" cm="1">
        <f t="array" ref="N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1">
        <f>IF(ISNUMBER(SEARCH("passenger",PROPERTIES[[#This Row],[CARGODEF]])),1,0)</f>
        <v>0</v>
      </c>
      <c r="P711" s="29">
        <v>26</v>
      </c>
      <c r="Q711">
        <v>0</v>
      </c>
      <c r="R711">
        <v>160</v>
      </c>
      <c r="S711" s="26">
        <v>0</v>
      </c>
      <c r="T711" s="25">
        <f>IFERROR(PROPERTIES[[#This Row],[TE_STARTING_KN]]/(PROPERTIES[[#This Row],[WEIGHT]]*9.81),0)</f>
        <v>0</v>
      </c>
      <c r="U711" s="25">
        <v>0.3</v>
      </c>
      <c r="V711" s="22">
        <f>ROUND(IF(IFERROR(PROPERTIES[[#This Row],[TE_COEFFICIENT_CALC]],0)=0,PROPERTIES[[#This Row],[TE_COEFFICIENT_MANUAL]],PROPERTIES[[#This Row],[TE_COEFFICIENT_CALC]]),3)</f>
        <v>0.3</v>
      </c>
      <c r="W711" s="10" cm="1">
        <f t="array" ref="W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1" s="32">
        <v>0</v>
      </c>
      <c r="Y711" s="8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8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9" t="b">
        <v>0</v>
      </c>
      <c r="AY711"/>
      <c r="AZ711"/>
      <c r="BA711"/>
    </row>
    <row r="712" spans="1:53">
      <c r="A712" s="2" t="s">
        <v>845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2" t="str">
        <f>_xlfn.XLOOKUP(PROPERTIES[[#This Row],[COUNTRY]],COUNTRIES[COUNTRY_DESCRIPTION],COUNTRIES[COUNTRY_LABEL],"")</f>
        <v/>
      </c>
      <c r="G712" t="str" cm="1">
        <f t="array" ref="G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2" t="s">
        <v>592</v>
      </c>
      <c r="I712">
        <v>20</v>
      </c>
      <c r="J712">
        <v>8</v>
      </c>
      <c r="K712">
        <v>8</v>
      </c>
      <c r="L712" t="str" cm="1">
        <f t="array" ref="L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2">
        <f>_xlfn.XLOOKUP("LOADINGSPEEDDEF_"&amp;PROPERTIES[[#This Row],[LOADINGSPEED]],LOADINGSPEEDDEF[TYPE],LOADINGSPEEDDEF[SPEED])</f>
        <v>20</v>
      </c>
      <c r="N712" t="str" cm="1">
        <f t="array" ref="N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2">
        <f>IF(ISNUMBER(SEARCH("passenger",PROPERTIES[[#This Row],[CARGODEF]])),1,0)</f>
        <v>0</v>
      </c>
      <c r="P712" s="29">
        <v>28</v>
      </c>
      <c r="Q712">
        <v>0</v>
      </c>
      <c r="R712">
        <v>160</v>
      </c>
      <c r="S712" s="26">
        <v>0</v>
      </c>
      <c r="T712" s="25">
        <f>IFERROR(PROPERTIES[[#This Row],[TE_STARTING_KN]]/(PROPERTIES[[#This Row],[WEIGHT]]*9.81),0)</f>
        <v>0</v>
      </c>
      <c r="U712" s="25">
        <v>0.3</v>
      </c>
      <c r="V712" s="22">
        <f>ROUND(IF(IFERROR(PROPERTIES[[#This Row],[TE_COEFFICIENT_CALC]],0)=0,PROPERTIES[[#This Row],[TE_COEFFICIENT_MANUAL]],PROPERTIES[[#This Row],[TE_COEFFICIENT_CALC]]),3)</f>
        <v>0.3</v>
      </c>
      <c r="W712" s="10" cm="1">
        <f t="array" ref="W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2" s="32">
        <v>0</v>
      </c>
      <c r="Y712" s="8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8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9" t="b">
        <v>0</v>
      </c>
      <c r="AY712"/>
      <c r="AZ712"/>
      <c r="BA712"/>
    </row>
    <row r="713" spans="1:53">
      <c r="A713" s="2" t="s">
        <v>846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3" t="str">
        <f>_xlfn.XLOOKUP(PROPERTIES[[#This Row],[COUNTRY]],COUNTRIES[COUNTRY_DESCRIPTION],COUNTRIES[COUNTRY_LABEL],"")</f>
        <v/>
      </c>
      <c r="G713" t="str" cm="1">
        <f t="array" ref="G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3" t="s">
        <v>526</v>
      </c>
      <c r="I713">
        <v>60</v>
      </c>
      <c r="J713">
        <v>8</v>
      </c>
      <c r="K713">
        <v>8</v>
      </c>
      <c r="L713" t="str" cm="1">
        <f t="array" ref="L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3">
        <f>_xlfn.XLOOKUP("LOADINGSPEEDDEF_"&amp;PROPERTIES[[#This Row],[LOADINGSPEED]],LOADINGSPEEDDEF[TYPE],LOADINGSPEEDDEF[SPEED])</f>
        <v>20</v>
      </c>
      <c r="N713" t="str" cm="1">
        <f t="array" ref="N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3">
        <f>IF(ISNUMBER(SEARCH("passenger",PROPERTIES[[#This Row],[CARGODEF]])),1,0)</f>
        <v>0</v>
      </c>
      <c r="P713" s="29">
        <v>22</v>
      </c>
      <c r="Q713">
        <v>0</v>
      </c>
      <c r="R713">
        <v>160</v>
      </c>
      <c r="S713" s="26">
        <v>0</v>
      </c>
      <c r="T713" s="25">
        <f>IFERROR(PROPERTIES[[#This Row],[TE_STARTING_KN]]/(PROPERTIES[[#This Row],[WEIGHT]]*9.81),0)</f>
        <v>0</v>
      </c>
      <c r="U713" s="25">
        <v>0.3</v>
      </c>
      <c r="V713" s="22">
        <f>ROUND(IF(IFERROR(PROPERTIES[[#This Row],[TE_COEFFICIENT_CALC]],0)=0,PROPERTIES[[#This Row],[TE_COEFFICIENT_MANUAL]],PROPERTIES[[#This Row],[TE_COEFFICIENT_CALC]]),3)</f>
        <v>0.3</v>
      </c>
      <c r="W713" s="10" cm="1">
        <f t="array" ref="W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3" s="32">
        <v>0</v>
      </c>
      <c r="Y713" s="8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8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9" t="b">
        <v>0</v>
      </c>
      <c r="AY713"/>
      <c r="AZ713"/>
      <c r="BA713"/>
    </row>
    <row r="714" spans="1:53">
      <c r="A714" s="2" t="s">
        <v>847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4" t="str">
        <f>_xlfn.XLOOKUP(PROPERTIES[[#This Row],[COUNTRY]],COUNTRIES[COUNTRY_DESCRIPTION],COUNTRIES[COUNTRY_LABEL],"")</f>
        <v/>
      </c>
      <c r="G714" t="str" cm="1">
        <f t="array" ref="G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4" t="s">
        <v>593</v>
      </c>
      <c r="I714">
        <v>65</v>
      </c>
      <c r="J714">
        <v>8</v>
      </c>
      <c r="K714">
        <v>8</v>
      </c>
      <c r="L714" t="str" cm="1">
        <f t="array" ref="L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4">
        <f>_xlfn.XLOOKUP("LOADINGSPEEDDEF_"&amp;PROPERTIES[[#This Row],[LOADINGSPEED]],LOADINGSPEEDDEF[TYPE],LOADINGSPEEDDEF[SPEED])</f>
        <v>20</v>
      </c>
      <c r="N714" t="str" cm="1">
        <f t="array" ref="N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4">
        <f>IF(ISNUMBER(SEARCH("passenger",PROPERTIES[[#This Row],[CARGODEF]])),1,0)</f>
        <v>0</v>
      </c>
      <c r="P714" s="29">
        <v>40</v>
      </c>
      <c r="Q714">
        <v>0</v>
      </c>
      <c r="R714">
        <v>160</v>
      </c>
      <c r="S714" s="26">
        <v>0</v>
      </c>
      <c r="T714" s="25">
        <f>IFERROR(PROPERTIES[[#This Row],[TE_STARTING_KN]]/(PROPERTIES[[#This Row],[WEIGHT]]*9.81),0)</f>
        <v>0</v>
      </c>
      <c r="U714" s="25">
        <v>0.3</v>
      </c>
      <c r="V714" s="22">
        <f>ROUND(IF(IFERROR(PROPERTIES[[#This Row],[TE_COEFFICIENT_CALC]],0)=0,PROPERTIES[[#This Row],[TE_COEFFICIENT_MANUAL]],PROPERTIES[[#This Row],[TE_COEFFICIENT_CALC]]),3)</f>
        <v>0.3</v>
      </c>
      <c r="W714" s="10" cm="1">
        <f t="array" ref="W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4" s="32">
        <v>0</v>
      </c>
      <c r="Y714" s="8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8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9" t="b">
        <v>0</v>
      </c>
      <c r="AY714"/>
      <c r="AZ714"/>
      <c r="BA714"/>
    </row>
    <row r="715" spans="1:53">
      <c r="A715" s="2" t="s">
        <v>848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5" t="str">
        <f>_xlfn.XLOOKUP(PROPERTIES[[#This Row],[COUNTRY]],COUNTRIES[COUNTRY_DESCRIPTION],COUNTRIES[COUNTRY_LABEL],"")</f>
        <v/>
      </c>
      <c r="G715" t="str" cm="1">
        <f t="array" ref="G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5" t="s">
        <v>594</v>
      </c>
      <c r="I715">
        <v>75</v>
      </c>
      <c r="J715">
        <v>8</v>
      </c>
      <c r="K715">
        <v>8</v>
      </c>
      <c r="L715" t="str" cm="1">
        <f t="array" ref="L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5">
        <f>_xlfn.XLOOKUP("LOADINGSPEEDDEF_"&amp;PROPERTIES[[#This Row],[LOADINGSPEED]],LOADINGSPEEDDEF[TYPE],LOADINGSPEEDDEF[SPEED])</f>
        <v>20</v>
      </c>
      <c r="N715" t="str" cm="1">
        <f t="array" ref="N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5">
        <f>IF(ISNUMBER(SEARCH("passenger",PROPERTIES[[#This Row],[CARGODEF]])),1,0)</f>
        <v>0</v>
      </c>
      <c r="P715" s="29">
        <v>25</v>
      </c>
      <c r="Q715">
        <v>0</v>
      </c>
      <c r="R715">
        <v>160</v>
      </c>
      <c r="S715" s="26">
        <v>0</v>
      </c>
      <c r="T715" s="25">
        <f>IFERROR(PROPERTIES[[#This Row],[TE_STARTING_KN]]/(PROPERTIES[[#This Row],[WEIGHT]]*9.81),0)</f>
        <v>0</v>
      </c>
      <c r="U715" s="25">
        <v>0.3</v>
      </c>
      <c r="V715" s="22">
        <f>ROUND(IF(IFERROR(PROPERTIES[[#This Row],[TE_COEFFICIENT_CALC]],0)=0,PROPERTIES[[#This Row],[TE_COEFFICIENT_MANUAL]],PROPERTIES[[#This Row],[TE_COEFFICIENT_CALC]]),3)</f>
        <v>0.3</v>
      </c>
      <c r="W715" s="10" cm="1">
        <f t="array" ref="W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5" s="32">
        <v>0</v>
      </c>
      <c r="Y715" s="8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8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9" t="b">
        <v>0</v>
      </c>
      <c r="AY715"/>
      <c r="AZ715"/>
      <c r="BA715"/>
    </row>
    <row r="716" spans="1:53">
      <c r="A716" s="2" t="s">
        <v>849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6" t="str">
        <f>_xlfn.XLOOKUP(PROPERTIES[[#This Row],[COUNTRY]],COUNTRIES[COUNTRY_DESCRIPTION],COUNTRIES[COUNTRY_LABEL],"")</f>
        <v/>
      </c>
      <c r="G716" t="str" cm="1">
        <f t="array" ref="G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6" t="s">
        <v>600</v>
      </c>
      <c r="I716">
        <v>65</v>
      </c>
      <c r="J716">
        <v>4</v>
      </c>
      <c r="K716">
        <v>12</v>
      </c>
      <c r="L716" t="str" cm="1">
        <f t="array" ref="L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6">
        <f>_xlfn.XLOOKUP("LOADINGSPEEDDEF_"&amp;PROPERTIES[[#This Row],[LOADINGSPEED]],LOADINGSPEEDDEF[TYPE],LOADINGSPEEDDEF[SPEED])</f>
        <v>20</v>
      </c>
      <c r="N716" t="str" cm="1">
        <f t="array" ref="N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6">
        <f>IF(ISNUMBER(SEARCH("passenger",PROPERTIES[[#This Row],[CARGODEF]])),1,0)</f>
        <v>0</v>
      </c>
      <c r="P716" s="29">
        <v>50</v>
      </c>
      <c r="Q716">
        <v>0</v>
      </c>
      <c r="R716">
        <v>140</v>
      </c>
      <c r="S716" s="26">
        <v>0</v>
      </c>
      <c r="T716" s="25">
        <f>IFERROR(PROPERTIES[[#This Row],[TE_STARTING_KN]]/(PROPERTIES[[#This Row],[WEIGHT]]*9.81),0)</f>
        <v>0</v>
      </c>
      <c r="U716" s="25">
        <v>0.3</v>
      </c>
      <c r="V716" s="22">
        <f>ROUND(IF(IFERROR(PROPERTIES[[#This Row],[TE_COEFFICIENT_CALC]],0)=0,PROPERTIES[[#This Row],[TE_COEFFICIENT_MANUAL]],PROPERTIES[[#This Row],[TE_COEFFICIENT_CALC]]),3)</f>
        <v>0.3</v>
      </c>
      <c r="W716" s="10" cm="1">
        <f t="array" ref="W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6" s="32">
        <v>0</v>
      </c>
      <c r="Y716" s="8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8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9" t="b">
        <v>0</v>
      </c>
      <c r="AY716"/>
      <c r="AZ716"/>
      <c r="BA716"/>
    </row>
    <row r="717" spans="1:53">
      <c r="A717" s="2" t="s">
        <v>864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7" t="str">
        <f>_xlfn.XLOOKUP(PROPERTIES[[#This Row],[COUNTRY]],COUNTRIES[COUNTRY_DESCRIPTION],COUNTRIES[COUNTRY_LABEL],"")</f>
        <v/>
      </c>
      <c r="G717" t="str" cm="1">
        <f t="array" ref="G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7" t="s">
        <v>19</v>
      </c>
      <c r="I717">
        <v>0</v>
      </c>
      <c r="J717">
        <v>5</v>
      </c>
      <c r="K717">
        <v>5</v>
      </c>
      <c r="L717" t="str" cm="1">
        <f t="array" ref="L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7">
        <f>_xlfn.XLOOKUP("LOADINGSPEEDDEF_"&amp;PROPERTIES[[#This Row],[LOADINGSPEED]],LOADINGSPEEDDEF[TYPE],LOADINGSPEEDDEF[SPEED])</f>
        <v>20</v>
      </c>
      <c r="N717" cm="1">
        <f t="array" ref="N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7">
        <f>IF(ISNUMBER(SEARCH("passenger",PROPERTIES[[#This Row],[CARGODEF]])),1,0)</f>
        <v>0</v>
      </c>
      <c r="P717" s="29">
        <v>15</v>
      </c>
      <c r="Q717">
        <v>0</v>
      </c>
      <c r="R717">
        <v>0</v>
      </c>
      <c r="S717" s="26">
        <v>0</v>
      </c>
      <c r="T717" s="25">
        <f>IFERROR(PROPERTIES[[#This Row],[TE_STARTING_KN]]/(PROPERTIES[[#This Row],[WEIGHT]]*9.81),0)</f>
        <v>0</v>
      </c>
      <c r="U717" s="25">
        <v>0.3</v>
      </c>
      <c r="V717" s="22">
        <f>ROUND(IF(IFERROR(PROPERTIES[[#This Row],[TE_COEFFICIENT_CALC]],0)=0,PROPERTIES[[#This Row],[TE_COEFFICIENT_MANUAL]],PROPERTIES[[#This Row],[TE_COEFFICIENT_CALC]]),3)</f>
        <v>0.3</v>
      </c>
      <c r="W717" s="10" cm="1">
        <f t="array" ref="W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7" s="32">
        <v>0</v>
      </c>
      <c r="Y717" s="8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8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9" t="b">
        <v>0</v>
      </c>
      <c r="AY717"/>
      <c r="AZ717"/>
      <c r="BA717"/>
    </row>
    <row r="718" spans="1:53">
      <c r="A718" s="2" t="s">
        <v>865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8" t="str">
        <f>_xlfn.XLOOKUP(PROPERTIES[[#This Row],[COUNTRY]],COUNTRIES[COUNTRY_DESCRIPTION],COUNTRIES[COUNTRY_LABEL],"")</f>
        <v/>
      </c>
      <c r="G718" t="str" cm="1">
        <f t="array" ref="G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8" t="s">
        <v>19</v>
      </c>
      <c r="I718">
        <v>0</v>
      </c>
      <c r="J718">
        <v>5</v>
      </c>
      <c r="K718">
        <v>5</v>
      </c>
      <c r="L718" t="str" cm="1">
        <f t="array" ref="L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8">
        <f>_xlfn.XLOOKUP("LOADINGSPEEDDEF_"&amp;PROPERTIES[[#This Row],[LOADINGSPEED]],LOADINGSPEEDDEF[TYPE],LOADINGSPEEDDEF[SPEED])</f>
        <v>20</v>
      </c>
      <c r="N718" cm="1">
        <f t="array" ref="N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8">
        <f>IF(ISNUMBER(SEARCH("passenger",PROPERTIES[[#This Row],[CARGODEF]])),1,0)</f>
        <v>0</v>
      </c>
      <c r="P718" s="29">
        <v>15</v>
      </c>
      <c r="Q718">
        <v>0</v>
      </c>
      <c r="R718">
        <v>0</v>
      </c>
      <c r="S718" s="26">
        <v>0</v>
      </c>
      <c r="T718" s="25">
        <f>IFERROR(PROPERTIES[[#This Row],[TE_STARTING_KN]]/(PROPERTIES[[#This Row],[WEIGHT]]*9.81),0)</f>
        <v>0</v>
      </c>
      <c r="U718" s="25">
        <v>0.3</v>
      </c>
      <c r="V718" s="22">
        <f>ROUND(IF(IFERROR(PROPERTIES[[#This Row],[TE_COEFFICIENT_CALC]],0)=0,PROPERTIES[[#This Row],[TE_COEFFICIENT_MANUAL]],PROPERTIES[[#This Row],[TE_COEFFICIENT_CALC]]),3)</f>
        <v>0.3</v>
      </c>
      <c r="W718" s="10" cm="1">
        <f t="array" ref="W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8" s="32">
        <v>0</v>
      </c>
      <c r="Y718" s="8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8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9" t="b">
        <v>0</v>
      </c>
      <c r="AY718"/>
      <c r="AZ718"/>
      <c r="BA718"/>
    </row>
    <row r="719" spans="1:53">
      <c r="A719" s="2" t="s">
        <v>721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9" t="str">
        <f>_xlfn.XLOOKUP(PROPERTIES[[#This Row],[COUNTRY]],COUNTRIES[COUNTRY_DESCRIPTION],COUNTRIES[COUNTRY_LABEL],"")</f>
        <v/>
      </c>
      <c r="G719" t="str" cm="1">
        <f t="array" ref="G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9" t="s">
        <v>320</v>
      </c>
      <c r="I719">
        <v>20</v>
      </c>
      <c r="J719">
        <v>4</v>
      </c>
      <c r="K719">
        <v>4</v>
      </c>
      <c r="L719" t="str" cm="1">
        <f t="array" ref="L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19">
        <f>_xlfn.XLOOKUP("LOADINGSPEEDDEF_"&amp;PROPERTIES[[#This Row],[LOADINGSPEED]],LOADINGSPEEDDEF[TYPE],LOADINGSPEEDDEF[SPEED])</f>
        <v>40</v>
      </c>
      <c r="N719" cm="1">
        <f t="array" ref="N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9">
        <f>IF(ISNUMBER(SEARCH("passenger",PROPERTIES[[#This Row],[CARGODEF]])),1,0)</f>
        <v>1</v>
      </c>
      <c r="P719" s="29">
        <v>5</v>
      </c>
      <c r="Q719">
        <v>0</v>
      </c>
      <c r="R719">
        <v>40</v>
      </c>
      <c r="S719" s="26">
        <v>0</v>
      </c>
      <c r="T719" s="25">
        <f>IFERROR(PROPERTIES[[#This Row],[TE_STARTING_KN]]/(PROPERTIES[[#This Row],[WEIGHT]]*9.81),0)</f>
        <v>0</v>
      </c>
      <c r="U719" s="25">
        <v>0.3</v>
      </c>
      <c r="V719" s="22">
        <f>ROUND(IF(IFERROR(PROPERTIES[[#This Row],[TE_COEFFICIENT_CALC]],0)=0,PROPERTIES[[#This Row],[TE_COEFFICIENT_MANUAL]],PROPERTIES[[#This Row],[TE_COEFFICIENT_CALC]]),3)</f>
        <v>0.3</v>
      </c>
      <c r="W719" s="10" cm="1">
        <f t="array" ref="W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9" s="32">
        <v>0</v>
      </c>
      <c r="Y719" s="8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8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9" t="b">
        <v>0</v>
      </c>
      <c r="AY719"/>
      <c r="AZ719"/>
      <c r="BA719"/>
    </row>
    <row r="720" spans="1:53">
      <c r="A720" s="2" t="s">
        <v>722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0" t="str">
        <f>_xlfn.XLOOKUP(PROPERTIES[[#This Row],[COUNTRY]],COUNTRIES[COUNTRY_DESCRIPTION],COUNTRIES[COUNTRY_LABEL],"")</f>
        <v/>
      </c>
      <c r="G720" t="str" cm="1">
        <f t="array" ref="G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0" t="s">
        <v>320</v>
      </c>
      <c r="I720">
        <v>45</v>
      </c>
      <c r="J720">
        <v>4</v>
      </c>
      <c r="K720">
        <v>4</v>
      </c>
      <c r="L720" t="str" cm="1">
        <f t="array" ref="L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0">
        <f>_xlfn.XLOOKUP("LOADINGSPEEDDEF_"&amp;PROPERTIES[[#This Row],[LOADINGSPEED]],LOADINGSPEEDDEF[TYPE],LOADINGSPEEDDEF[SPEED])</f>
        <v>40</v>
      </c>
      <c r="N720" cm="1">
        <f t="array" ref="N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0">
        <f>IF(ISNUMBER(SEARCH("passenger",PROPERTIES[[#This Row],[CARGODEF]])),1,0)</f>
        <v>1</v>
      </c>
      <c r="P720" s="29">
        <v>8</v>
      </c>
      <c r="Q720">
        <v>0</v>
      </c>
      <c r="R720">
        <v>65</v>
      </c>
      <c r="S720" s="26">
        <v>0</v>
      </c>
      <c r="T720" s="25">
        <f>IFERROR(PROPERTIES[[#This Row],[TE_STARTING_KN]]/(PROPERTIES[[#This Row],[WEIGHT]]*9.81),0)</f>
        <v>0</v>
      </c>
      <c r="U720" s="25">
        <v>0.3</v>
      </c>
      <c r="V720" s="22">
        <f>ROUND(IF(IFERROR(PROPERTIES[[#This Row],[TE_COEFFICIENT_CALC]],0)=0,PROPERTIES[[#This Row],[TE_COEFFICIENT_MANUAL]],PROPERTIES[[#This Row],[TE_COEFFICIENT_CALC]]),3)</f>
        <v>0.3</v>
      </c>
      <c r="W720" s="10" cm="1">
        <f t="array" ref="W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0" s="32">
        <v>0</v>
      </c>
      <c r="Y720" s="8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8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9" t="b">
        <v>0</v>
      </c>
      <c r="AY720"/>
      <c r="AZ720"/>
      <c r="BA720"/>
    </row>
    <row r="721" spans="1:53">
      <c r="A721" s="2" t="s">
        <v>723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1" t="str">
        <f>_xlfn.XLOOKUP(PROPERTIES[[#This Row],[COUNTRY]],COUNTRIES[COUNTRY_DESCRIPTION],COUNTRIES[COUNTRY_LABEL],"")</f>
        <v/>
      </c>
      <c r="G721" t="str" cm="1">
        <f t="array" ref="G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1" t="s">
        <v>665</v>
      </c>
      <c r="I721">
        <v>12</v>
      </c>
      <c r="J721">
        <v>4</v>
      </c>
      <c r="K721">
        <v>4</v>
      </c>
      <c r="L721" t="str" cm="1">
        <f t="array" ref="L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1">
        <f>_xlfn.XLOOKUP("LOADINGSPEEDDEF_"&amp;PROPERTIES[[#This Row],[LOADINGSPEED]],LOADINGSPEEDDEF[TYPE],LOADINGSPEEDDEF[SPEED])</f>
        <v>15</v>
      </c>
      <c r="N721" cm="1">
        <f t="array" ref="N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1">
        <f>IF(ISNUMBER(SEARCH("passenger",PROPERTIES[[#This Row],[CARGODEF]])),1,0)</f>
        <v>0</v>
      </c>
      <c r="P721" s="29">
        <v>5</v>
      </c>
      <c r="Q721">
        <v>0</v>
      </c>
      <c r="R721">
        <v>45</v>
      </c>
      <c r="S721" s="26">
        <v>0</v>
      </c>
      <c r="T721" s="25">
        <f>IFERROR(PROPERTIES[[#This Row],[TE_STARTING_KN]]/(PROPERTIES[[#This Row],[WEIGHT]]*9.81),0)</f>
        <v>0</v>
      </c>
      <c r="U721" s="25">
        <v>0.3</v>
      </c>
      <c r="V721" s="22">
        <f>ROUND(IF(IFERROR(PROPERTIES[[#This Row],[TE_COEFFICIENT_CALC]],0)=0,PROPERTIES[[#This Row],[TE_COEFFICIENT_MANUAL]],PROPERTIES[[#This Row],[TE_COEFFICIENT_CALC]]),3)</f>
        <v>0.3</v>
      </c>
      <c r="W721" s="10" cm="1">
        <f t="array" ref="W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1" s="32">
        <v>0</v>
      </c>
      <c r="Y721" s="8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8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9" t="b">
        <v>0</v>
      </c>
      <c r="AY721"/>
      <c r="AZ721"/>
      <c r="BA721"/>
    </row>
    <row r="722" spans="1:53">
      <c r="A722" s="2" t="s">
        <v>724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2" t="str">
        <f>_xlfn.XLOOKUP(PROPERTIES[[#This Row],[COUNTRY]],COUNTRIES[COUNTRY_DESCRIPTION],COUNTRIES[COUNTRY_LABEL],"")</f>
        <v/>
      </c>
      <c r="G722" t="str" cm="1">
        <f t="array" ref="G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2" t="s">
        <v>320</v>
      </c>
      <c r="I722">
        <v>30</v>
      </c>
      <c r="J722">
        <v>6</v>
      </c>
      <c r="K722">
        <v>6</v>
      </c>
      <c r="L722" t="str" cm="1">
        <f t="array" ref="L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2">
        <f>_xlfn.XLOOKUP("LOADINGSPEEDDEF_"&amp;PROPERTIES[[#This Row],[LOADINGSPEED]],LOADINGSPEEDDEF[TYPE],LOADINGSPEEDDEF[SPEED])</f>
        <v>40</v>
      </c>
      <c r="N722" cm="1">
        <f t="array" ref="N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2">
        <f>IF(ISNUMBER(SEARCH("passenger",PROPERTIES[[#This Row],[CARGODEF]])),1,0)</f>
        <v>1</v>
      </c>
      <c r="P722" s="29">
        <v>12</v>
      </c>
      <c r="Q722">
        <v>0</v>
      </c>
      <c r="R722">
        <v>80</v>
      </c>
      <c r="S722" s="26">
        <v>0</v>
      </c>
      <c r="T722" s="25">
        <f>IFERROR(PROPERTIES[[#This Row],[TE_STARTING_KN]]/(PROPERTIES[[#This Row],[WEIGHT]]*9.81),0)</f>
        <v>0</v>
      </c>
      <c r="U722" s="25">
        <v>0.3</v>
      </c>
      <c r="V722" s="22">
        <f>ROUND(IF(IFERROR(PROPERTIES[[#This Row],[TE_COEFFICIENT_CALC]],0)=0,PROPERTIES[[#This Row],[TE_COEFFICIENT_MANUAL]],PROPERTIES[[#This Row],[TE_COEFFICIENT_CALC]]),3)</f>
        <v>0.3</v>
      </c>
      <c r="W722" s="10" cm="1">
        <f t="array" ref="W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2" s="32">
        <v>0</v>
      </c>
      <c r="Y722" s="8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8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9" t="b">
        <v>0</v>
      </c>
      <c r="AY722"/>
      <c r="AZ722"/>
      <c r="BA722"/>
    </row>
    <row r="723" spans="1:53">
      <c r="A723" s="2" t="s">
        <v>725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3" t="str">
        <f>_xlfn.XLOOKUP(PROPERTIES[[#This Row],[COUNTRY]],COUNTRIES[COUNTRY_DESCRIPTION],COUNTRIES[COUNTRY_LABEL],"")</f>
        <v/>
      </c>
      <c r="G723" t="str" cm="1">
        <f t="array" ref="G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3" t="s">
        <v>320</v>
      </c>
      <c r="I723">
        <v>65</v>
      </c>
      <c r="J723">
        <v>6</v>
      </c>
      <c r="K723">
        <v>6</v>
      </c>
      <c r="L723" t="str" cm="1">
        <f t="array" ref="L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3">
        <f>_xlfn.XLOOKUP("LOADINGSPEEDDEF_"&amp;PROPERTIES[[#This Row],[LOADINGSPEED]],LOADINGSPEEDDEF[TYPE],LOADINGSPEEDDEF[SPEED])</f>
        <v>40</v>
      </c>
      <c r="N723" cm="1">
        <f t="array" ref="N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3">
        <f>IF(ISNUMBER(SEARCH("passenger",PROPERTIES[[#This Row],[CARGODEF]])),1,0)</f>
        <v>1</v>
      </c>
      <c r="P723" s="29">
        <v>15</v>
      </c>
      <c r="Q723">
        <v>0</v>
      </c>
      <c r="R723">
        <v>70</v>
      </c>
      <c r="S723" s="26">
        <v>0</v>
      </c>
      <c r="T723" s="25">
        <f>IFERROR(PROPERTIES[[#This Row],[TE_STARTING_KN]]/(PROPERTIES[[#This Row],[WEIGHT]]*9.81),0)</f>
        <v>0</v>
      </c>
      <c r="U723" s="25">
        <v>0.3</v>
      </c>
      <c r="V723" s="22">
        <f>ROUND(IF(IFERROR(PROPERTIES[[#This Row],[TE_COEFFICIENT_CALC]],0)=0,PROPERTIES[[#This Row],[TE_COEFFICIENT_MANUAL]],PROPERTIES[[#This Row],[TE_COEFFICIENT_CALC]]),3)</f>
        <v>0.3</v>
      </c>
      <c r="W723" s="10" cm="1">
        <f t="array" ref="W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3" s="32">
        <v>0</v>
      </c>
      <c r="Y723" s="8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8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9" t="b">
        <v>0</v>
      </c>
      <c r="AY723"/>
      <c r="AZ723"/>
      <c r="BA723"/>
    </row>
    <row r="724" spans="1:53">
      <c r="A724" s="2" t="s">
        <v>726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4" t="str">
        <f>_xlfn.XLOOKUP(PROPERTIES[[#This Row],[COUNTRY]],COUNTRIES[COUNTRY_DESCRIPTION],COUNTRIES[COUNTRY_LABEL],"")</f>
        <v/>
      </c>
      <c r="G724" t="str" cm="1">
        <f t="array" ref="G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4" t="s">
        <v>665</v>
      </c>
      <c r="I724">
        <v>28</v>
      </c>
      <c r="J724">
        <v>6</v>
      </c>
      <c r="K724">
        <v>6</v>
      </c>
      <c r="L724" t="str" cm="1">
        <f t="array" ref="L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4">
        <f>_xlfn.XLOOKUP("LOADINGSPEEDDEF_"&amp;PROPERTIES[[#This Row],[LOADINGSPEED]],LOADINGSPEEDDEF[TYPE],LOADINGSPEEDDEF[SPEED])</f>
        <v>15</v>
      </c>
      <c r="N724" cm="1">
        <f t="array" ref="N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4">
        <f>IF(ISNUMBER(SEARCH("passenger",PROPERTIES[[#This Row],[CARGODEF]])),1,0)</f>
        <v>0</v>
      </c>
      <c r="P724" s="29">
        <v>13.5</v>
      </c>
      <c r="Q724">
        <v>0</v>
      </c>
      <c r="R724">
        <v>80</v>
      </c>
      <c r="S724" s="26">
        <v>0</v>
      </c>
      <c r="T724" s="25">
        <f>IFERROR(PROPERTIES[[#This Row],[TE_STARTING_KN]]/(PROPERTIES[[#This Row],[WEIGHT]]*9.81),0)</f>
        <v>0</v>
      </c>
      <c r="U724" s="25">
        <v>0.3</v>
      </c>
      <c r="V724" s="22">
        <f>ROUND(IF(IFERROR(PROPERTIES[[#This Row],[TE_COEFFICIENT_CALC]],0)=0,PROPERTIES[[#This Row],[TE_COEFFICIENT_MANUAL]],PROPERTIES[[#This Row],[TE_COEFFICIENT_CALC]]),3)</f>
        <v>0.3</v>
      </c>
      <c r="W724" s="10" cm="1">
        <f t="array" ref="W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4" s="32">
        <v>0</v>
      </c>
      <c r="Y724" s="8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8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9" t="b">
        <v>0</v>
      </c>
      <c r="AY724"/>
      <c r="AZ724"/>
      <c r="BA724"/>
    </row>
    <row r="725" spans="1:53">
      <c r="A725" s="2" t="s">
        <v>727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5" t="str">
        <f>_xlfn.XLOOKUP(PROPERTIES[[#This Row],[COUNTRY]],COUNTRIES[COUNTRY_DESCRIPTION],COUNTRIES[COUNTRY_LABEL],"")</f>
        <v/>
      </c>
      <c r="G725" t="str" cm="1">
        <f t="array" ref="G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5" t="s">
        <v>320</v>
      </c>
      <c r="I725">
        <v>40</v>
      </c>
      <c r="J725">
        <v>5</v>
      </c>
      <c r="K725">
        <v>5</v>
      </c>
      <c r="L725" t="str" cm="1">
        <f t="array" ref="L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5">
        <f>_xlfn.XLOOKUP("LOADINGSPEEDDEF_"&amp;PROPERTIES[[#This Row],[LOADINGSPEED]],LOADINGSPEEDDEF[TYPE],LOADINGSPEEDDEF[SPEED])</f>
        <v>40</v>
      </c>
      <c r="N725" cm="1">
        <f t="array" ref="N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5">
        <f>IF(ISNUMBER(SEARCH("passenger",PROPERTIES[[#This Row],[CARGODEF]])),1,0)</f>
        <v>1</v>
      </c>
      <c r="P725" s="29">
        <v>16.5</v>
      </c>
      <c r="Q725">
        <v>0</v>
      </c>
      <c r="R725">
        <v>90</v>
      </c>
      <c r="S725" s="26">
        <v>0</v>
      </c>
      <c r="T725" s="25">
        <f>IFERROR(PROPERTIES[[#This Row],[TE_STARTING_KN]]/(PROPERTIES[[#This Row],[WEIGHT]]*9.81),0)</f>
        <v>0</v>
      </c>
      <c r="U725" s="25">
        <v>0.3</v>
      </c>
      <c r="V725" s="22">
        <f>ROUND(IF(IFERROR(PROPERTIES[[#This Row],[TE_COEFFICIENT_CALC]],0)=0,PROPERTIES[[#This Row],[TE_COEFFICIENT_MANUAL]],PROPERTIES[[#This Row],[TE_COEFFICIENT_CALC]]),3)</f>
        <v>0.3</v>
      </c>
      <c r="W725" s="10" cm="1">
        <f t="array" ref="W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5" s="32">
        <v>0</v>
      </c>
      <c r="Y725" s="8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8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9" t="b">
        <v>0</v>
      </c>
      <c r="AY725"/>
      <c r="AZ725"/>
      <c r="BA725"/>
    </row>
    <row r="726" spans="1:53">
      <c r="A726" s="2" t="s">
        <v>728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6" t="str">
        <f>_xlfn.XLOOKUP(PROPERTIES[[#This Row],[COUNTRY]],COUNTRIES[COUNTRY_DESCRIPTION],COUNTRIES[COUNTRY_LABEL],"")</f>
        <v/>
      </c>
      <c r="G726" t="str" cm="1">
        <f t="array" ref="G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6" t="s">
        <v>320</v>
      </c>
      <c r="I726">
        <v>80</v>
      </c>
      <c r="J726">
        <v>5</v>
      </c>
      <c r="K726">
        <v>5</v>
      </c>
      <c r="L726" t="str" cm="1">
        <f t="array" ref="L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6">
        <f>_xlfn.XLOOKUP("LOADINGSPEEDDEF_"&amp;PROPERTIES[[#This Row],[LOADINGSPEED]],LOADINGSPEEDDEF[TYPE],LOADINGSPEEDDEF[SPEED])</f>
        <v>40</v>
      </c>
      <c r="N726" cm="1">
        <f t="array" ref="N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6">
        <f>IF(ISNUMBER(SEARCH("passenger",PROPERTIES[[#This Row],[CARGODEF]])),1,0)</f>
        <v>1</v>
      </c>
      <c r="P726" s="29">
        <v>18.5</v>
      </c>
      <c r="Q726">
        <v>0</v>
      </c>
      <c r="R726">
        <v>80</v>
      </c>
      <c r="S726" s="26">
        <v>0</v>
      </c>
      <c r="T726" s="25">
        <f>IFERROR(PROPERTIES[[#This Row],[TE_STARTING_KN]]/(PROPERTIES[[#This Row],[WEIGHT]]*9.81),0)</f>
        <v>0</v>
      </c>
      <c r="U726" s="25">
        <v>0.3</v>
      </c>
      <c r="V726" s="22">
        <f>ROUND(IF(IFERROR(PROPERTIES[[#This Row],[TE_COEFFICIENT_CALC]],0)=0,PROPERTIES[[#This Row],[TE_COEFFICIENT_MANUAL]],PROPERTIES[[#This Row],[TE_COEFFICIENT_CALC]]),3)</f>
        <v>0.3</v>
      </c>
      <c r="W726" s="10" cm="1">
        <f t="array" ref="W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6" s="32">
        <v>0</v>
      </c>
      <c r="Y726" s="8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8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9" t="b">
        <v>0</v>
      </c>
      <c r="AY726"/>
      <c r="AZ726"/>
      <c r="BA726"/>
    </row>
    <row r="727" spans="1:53">
      <c r="A727" s="2" t="s">
        <v>729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7" t="str">
        <f>_xlfn.XLOOKUP(PROPERTIES[[#This Row],[COUNTRY]],COUNTRIES[COUNTRY_DESCRIPTION],COUNTRIES[COUNTRY_LABEL],"")</f>
        <v/>
      </c>
      <c r="G727" t="str" cm="1">
        <f t="array" ref="G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7" t="s">
        <v>665</v>
      </c>
      <c r="I727">
        <v>42</v>
      </c>
      <c r="J727">
        <v>5</v>
      </c>
      <c r="K727">
        <v>5</v>
      </c>
      <c r="L727" t="str" cm="1">
        <f t="array" ref="L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7">
        <f>_xlfn.XLOOKUP("LOADINGSPEEDDEF_"&amp;PROPERTIES[[#This Row],[LOADINGSPEED]],LOADINGSPEEDDEF[TYPE],LOADINGSPEEDDEF[SPEED])</f>
        <v>15</v>
      </c>
      <c r="N727" cm="1">
        <f t="array" ref="N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7">
        <f>IF(ISNUMBER(SEARCH("passenger",PROPERTIES[[#This Row],[CARGODEF]])),1,0)</f>
        <v>0</v>
      </c>
      <c r="P727" s="29">
        <v>17.5</v>
      </c>
      <c r="Q727">
        <v>0</v>
      </c>
      <c r="R727">
        <v>95</v>
      </c>
      <c r="S727" s="26">
        <v>0</v>
      </c>
      <c r="T727" s="25">
        <f>IFERROR(PROPERTIES[[#This Row],[TE_STARTING_KN]]/(PROPERTIES[[#This Row],[WEIGHT]]*9.81),0)</f>
        <v>0</v>
      </c>
      <c r="U727" s="25">
        <v>0.3</v>
      </c>
      <c r="V727" s="22">
        <f>ROUND(IF(IFERROR(PROPERTIES[[#This Row],[TE_COEFFICIENT_CALC]],0)=0,PROPERTIES[[#This Row],[TE_COEFFICIENT_MANUAL]],PROPERTIES[[#This Row],[TE_COEFFICIENT_CALC]]),3)</f>
        <v>0.3</v>
      </c>
      <c r="W727" s="10" cm="1">
        <f t="array" ref="W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7" s="32">
        <v>0</v>
      </c>
      <c r="Y727" s="8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8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9" t="b">
        <v>0</v>
      </c>
      <c r="AY727"/>
      <c r="AZ727"/>
      <c r="BA727"/>
    </row>
    <row r="728" spans="1:53">
      <c r="A728" s="2" t="s">
        <v>730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8" t="str">
        <f>_xlfn.XLOOKUP(PROPERTIES[[#This Row],[COUNTRY]],COUNTRIES[COUNTRY_DESCRIPTION],COUNTRIES[COUNTRY_LABEL],"")</f>
        <v/>
      </c>
      <c r="G728" t="str" cm="1">
        <f t="array" ref="G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8" t="s">
        <v>320</v>
      </c>
      <c r="I728">
        <v>56</v>
      </c>
      <c r="J728">
        <v>8</v>
      </c>
      <c r="K728">
        <v>8</v>
      </c>
      <c r="L728" t="str" cm="1">
        <f t="array" ref="L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8">
        <f>_xlfn.XLOOKUP("LOADINGSPEEDDEF_"&amp;PROPERTIES[[#This Row],[LOADINGSPEED]],LOADINGSPEEDDEF[TYPE],LOADINGSPEEDDEF[SPEED])</f>
        <v>40</v>
      </c>
      <c r="N728" cm="1">
        <f t="array" ref="N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8">
        <f>IF(ISNUMBER(SEARCH("passenger",PROPERTIES[[#This Row],[CARGODEF]])),1,0)</f>
        <v>1</v>
      </c>
      <c r="P728" s="29">
        <v>60</v>
      </c>
      <c r="Q728">
        <v>0</v>
      </c>
      <c r="R728">
        <v>120</v>
      </c>
      <c r="S728" s="26">
        <v>0</v>
      </c>
      <c r="T728" s="25">
        <f>IFERROR(PROPERTIES[[#This Row],[TE_STARTING_KN]]/(PROPERTIES[[#This Row],[WEIGHT]]*9.81),0)</f>
        <v>0</v>
      </c>
      <c r="U728" s="25">
        <v>0.3</v>
      </c>
      <c r="V728" s="22">
        <f>ROUND(IF(IFERROR(PROPERTIES[[#This Row],[TE_COEFFICIENT_CALC]],0)=0,PROPERTIES[[#This Row],[TE_COEFFICIENT_MANUAL]],PROPERTIES[[#This Row],[TE_COEFFICIENT_CALC]]),3)</f>
        <v>0.3</v>
      </c>
      <c r="W728" s="10" cm="1">
        <f t="array" ref="W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8" s="32">
        <v>0</v>
      </c>
      <c r="Y728" s="8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8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9" t="b">
        <v>0</v>
      </c>
      <c r="AY728"/>
      <c r="AZ728"/>
      <c r="BA728"/>
    </row>
    <row r="729" spans="1:53">
      <c r="A729" s="2" t="s">
        <v>731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9" t="str">
        <f>_xlfn.XLOOKUP(PROPERTIES[[#This Row],[COUNTRY]],COUNTRIES[COUNTRY_DESCRIPTION],COUNTRIES[COUNTRY_LABEL],"")</f>
        <v/>
      </c>
      <c r="G729" t="str" cm="1">
        <f t="array" ref="G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9" t="s">
        <v>665</v>
      </c>
      <c r="I729">
        <v>75</v>
      </c>
      <c r="J729">
        <v>8</v>
      </c>
      <c r="K729">
        <v>8</v>
      </c>
      <c r="L729" t="str" cm="1">
        <f t="array" ref="L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9">
        <f>_xlfn.XLOOKUP("LOADINGSPEEDDEF_"&amp;PROPERTIES[[#This Row],[LOADINGSPEED]],LOADINGSPEEDDEF[TYPE],LOADINGSPEEDDEF[SPEED])</f>
        <v>15</v>
      </c>
      <c r="N729" cm="1">
        <f t="array" ref="N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9">
        <f>IF(ISNUMBER(SEARCH("passenger",PROPERTIES[[#This Row],[CARGODEF]])),1,0)</f>
        <v>0</v>
      </c>
      <c r="P729" s="29">
        <v>58</v>
      </c>
      <c r="Q729">
        <v>0</v>
      </c>
      <c r="R729">
        <v>130</v>
      </c>
      <c r="S729" s="26">
        <v>0</v>
      </c>
      <c r="T729" s="25">
        <f>IFERROR(PROPERTIES[[#This Row],[TE_STARTING_KN]]/(PROPERTIES[[#This Row],[WEIGHT]]*9.81),0)</f>
        <v>0</v>
      </c>
      <c r="U729" s="25">
        <v>0.3</v>
      </c>
      <c r="V729" s="22">
        <f>ROUND(IF(IFERROR(PROPERTIES[[#This Row],[TE_COEFFICIENT_CALC]],0)=0,PROPERTIES[[#This Row],[TE_COEFFICIENT_MANUAL]],PROPERTIES[[#This Row],[TE_COEFFICIENT_CALC]]),3)</f>
        <v>0.3</v>
      </c>
      <c r="W729" s="10" cm="1">
        <f t="array" ref="W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9" s="32">
        <v>0</v>
      </c>
      <c r="Y729" s="8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8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9" t="b">
        <v>0</v>
      </c>
      <c r="AY729"/>
      <c r="AZ729"/>
      <c r="BA729"/>
    </row>
    <row r="730" spans="1:53">
      <c r="A730" s="2" t="s">
        <v>732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0" t="str">
        <f>_xlfn.XLOOKUP(PROPERTIES[[#This Row],[COUNTRY]],COUNTRIES[COUNTRY_DESCRIPTION],COUNTRIES[COUNTRY_LABEL],"")</f>
        <v/>
      </c>
      <c r="G730" t="str" cm="1">
        <f t="array" ref="G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0" t="s">
        <v>320</v>
      </c>
      <c r="I730">
        <v>80</v>
      </c>
      <c r="J730">
        <v>7</v>
      </c>
      <c r="K730">
        <v>7</v>
      </c>
      <c r="L730" t="str" cm="1">
        <f t="array" ref="L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0">
        <f>_xlfn.XLOOKUP("LOADINGSPEEDDEF_"&amp;PROPERTIES[[#This Row],[LOADINGSPEED]],LOADINGSPEEDDEF[TYPE],LOADINGSPEEDDEF[SPEED])</f>
        <v>40</v>
      </c>
      <c r="N730" cm="1">
        <f t="array" ref="N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0">
        <f>IF(ISNUMBER(SEARCH("passenger",PROPERTIES[[#This Row],[CARGODEF]])),1,0)</f>
        <v>1</v>
      </c>
      <c r="P730" s="29">
        <v>48</v>
      </c>
      <c r="Q730">
        <v>0</v>
      </c>
      <c r="R730">
        <v>120</v>
      </c>
      <c r="S730" s="26">
        <v>0</v>
      </c>
      <c r="T730" s="25">
        <f>IFERROR(PROPERTIES[[#This Row],[TE_STARTING_KN]]/(PROPERTIES[[#This Row],[WEIGHT]]*9.81),0)</f>
        <v>0</v>
      </c>
      <c r="U730" s="25">
        <v>0.3</v>
      </c>
      <c r="V730" s="22">
        <f>ROUND(IF(IFERROR(PROPERTIES[[#This Row],[TE_COEFFICIENT_CALC]],0)=0,PROPERTIES[[#This Row],[TE_COEFFICIENT_MANUAL]],PROPERTIES[[#This Row],[TE_COEFFICIENT_CALC]]),3)</f>
        <v>0.3</v>
      </c>
      <c r="W730" s="10" cm="1">
        <f t="array" ref="W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0" s="32">
        <v>0</v>
      </c>
      <c r="Y730" s="8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8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9" t="b">
        <v>0</v>
      </c>
      <c r="AY730"/>
      <c r="AZ730"/>
      <c r="BA730"/>
    </row>
    <row r="731" spans="1:53">
      <c r="A731" s="2" t="s">
        <v>733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1" t="str">
        <f>_xlfn.XLOOKUP(PROPERTIES[[#This Row],[COUNTRY]],COUNTRIES[COUNTRY_DESCRIPTION],COUNTRIES[COUNTRY_LABEL],"")</f>
        <v/>
      </c>
      <c r="G731" t="str" cm="1">
        <f t="array" ref="G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1" t="s">
        <v>320</v>
      </c>
      <c r="I731">
        <v>60</v>
      </c>
      <c r="J731">
        <v>7</v>
      </c>
      <c r="K731">
        <v>7</v>
      </c>
      <c r="L731" t="str" cm="1">
        <f t="array" ref="L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1">
        <f>_xlfn.XLOOKUP("LOADINGSPEEDDEF_"&amp;PROPERTIES[[#This Row],[LOADINGSPEED]],LOADINGSPEEDDEF[TYPE],LOADINGSPEEDDEF[SPEED])</f>
        <v>40</v>
      </c>
      <c r="N731" cm="1">
        <f t="array" ref="N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1">
        <f>IF(ISNUMBER(SEARCH("passenger",PROPERTIES[[#This Row],[CARGODEF]])),1,0)</f>
        <v>1</v>
      </c>
      <c r="P731" s="29">
        <v>40</v>
      </c>
      <c r="Q731">
        <v>0</v>
      </c>
      <c r="R731">
        <v>120</v>
      </c>
      <c r="S731" s="26">
        <v>0</v>
      </c>
      <c r="T731" s="25">
        <f>IFERROR(PROPERTIES[[#This Row],[TE_STARTING_KN]]/(PROPERTIES[[#This Row],[WEIGHT]]*9.81),0)</f>
        <v>0</v>
      </c>
      <c r="U731" s="25">
        <v>0.3</v>
      </c>
      <c r="V731" s="22">
        <f>ROUND(IF(IFERROR(PROPERTIES[[#This Row],[TE_COEFFICIENT_CALC]],0)=0,PROPERTIES[[#This Row],[TE_COEFFICIENT_MANUAL]],PROPERTIES[[#This Row],[TE_COEFFICIENT_CALC]]),3)</f>
        <v>0.3</v>
      </c>
      <c r="W731" s="10" cm="1">
        <f t="array" ref="W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1" s="32">
        <v>0</v>
      </c>
      <c r="Y731" s="8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8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9" t="b">
        <v>0</v>
      </c>
      <c r="AY731"/>
      <c r="AZ731"/>
      <c r="BA731"/>
    </row>
    <row r="732" spans="1:53">
      <c r="A732" s="2" t="s">
        <v>734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2" t="str">
        <f>_xlfn.XLOOKUP(PROPERTIES[[#This Row],[COUNTRY]],COUNTRIES[COUNTRY_DESCRIPTION],COUNTRIES[COUNTRY_LABEL],"")</f>
        <v/>
      </c>
      <c r="G732" t="str" cm="1">
        <f t="array" ref="G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2" t="s">
        <v>320</v>
      </c>
      <c r="I732">
        <v>120</v>
      </c>
      <c r="J732">
        <v>7</v>
      </c>
      <c r="K732">
        <v>7</v>
      </c>
      <c r="L732" t="str" cm="1">
        <f t="array" ref="L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2">
        <f>_xlfn.XLOOKUP("LOADINGSPEEDDEF_"&amp;PROPERTIES[[#This Row],[LOADINGSPEED]],LOADINGSPEEDDEF[TYPE],LOADINGSPEEDDEF[SPEED])</f>
        <v>40</v>
      </c>
      <c r="N732" cm="1">
        <f t="array" ref="N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2">
        <f>IF(ISNUMBER(SEARCH("passenger",PROPERTIES[[#This Row],[CARGODEF]])),1,0)</f>
        <v>1</v>
      </c>
      <c r="P732" s="29">
        <v>40</v>
      </c>
      <c r="Q732">
        <v>0</v>
      </c>
      <c r="R732">
        <v>100</v>
      </c>
      <c r="S732" s="26">
        <v>0</v>
      </c>
      <c r="T732" s="25">
        <f>IFERROR(PROPERTIES[[#This Row],[TE_STARTING_KN]]/(PROPERTIES[[#This Row],[WEIGHT]]*9.81),0)</f>
        <v>0</v>
      </c>
      <c r="U732" s="25">
        <v>0.3</v>
      </c>
      <c r="V732" s="22">
        <f>ROUND(IF(IFERROR(PROPERTIES[[#This Row],[TE_COEFFICIENT_CALC]],0)=0,PROPERTIES[[#This Row],[TE_COEFFICIENT_MANUAL]],PROPERTIES[[#This Row],[TE_COEFFICIENT_CALC]]),3)</f>
        <v>0.3</v>
      </c>
      <c r="W732" s="10" cm="1">
        <f t="array" ref="W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2" s="32">
        <v>0</v>
      </c>
      <c r="Y732" s="8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8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9" t="b">
        <v>0</v>
      </c>
      <c r="AY732"/>
      <c r="AZ732"/>
      <c r="BA732"/>
    </row>
    <row r="733" spans="1:53">
      <c r="A733" s="2" t="s">
        <v>735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3" t="str">
        <f>_xlfn.XLOOKUP(PROPERTIES[[#This Row],[COUNTRY]],COUNTRIES[COUNTRY_DESCRIPTION],COUNTRIES[COUNTRY_LABEL],"")</f>
        <v/>
      </c>
      <c r="G733" t="str" cm="1">
        <f t="array" ref="G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3" t="s">
        <v>665</v>
      </c>
      <c r="I733">
        <v>60</v>
      </c>
      <c r="J733">
        <v>7</v>
      </c>
      <c r="K733">
        <v>7</v>
      </c>
      <c r="L733" t="str" cm="1">
        <f t="array" ref="L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3">
        <f>_xlfn.XLOOKUP("LOADINGSPEEDDEF_"&amp;PROPERTIES[[#This Row],[LOADINGSPEED]],LOADINGSPEEDDEF[TYPE],LOADINGSPEEDDEF[SPEED])</f>
        <v>15</v>
      </c>
      <c r="N733" cm="1">
        <f t="array" ref="N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3">
        <f>IF(ISNUMBER(SEARCH("passenger",PROPERTIES[[#This Row],[CARGODEF]])),1,0)</f>
        <v>0</v>
      </c>
      <c r="P733" s="29">
        <v>44</v>
      </c>
      <c r="Q733">
        <v>0</v>
      </c>
      <c r="R733">
        <v>120</v>
      </c>
      <c r="S733" s="26">
        <v>0</v>
      </c>
      <c r="T733" s="25">
        <f>IFERROR(PROPERTIES[[#This Row],[TE_STARTING_KN]]/(PROPERTIES[[#This Row],[WEIGHT]]*9.81),0)</f>
        <v>0</v>
      </c>
      <c r="U733" s="25">
        <v>0.3</v>
      </c>
      <c r="V733" s="22">
        <f>ROUND(IF(IFERROR(PROPERTIES[[#This Row],[TE_COEFFICIENT_CALC]],0)=0,PROPERTIES[[#This Row],[TE_COEFFICIENT_MANUAL]],PROPERTIES[[#This Row],[TE_COEFFICIENT_CALC]]),3)</f>
        <v>0.3</v>
      </c>
      <c r="W733" s="10" cm="1">
        <f t="array" ref="W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3" s="32">
        <v>0</v>
      </c>
      <c r="Y733" s="8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8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9" t="b">
        <v>0</v>
      </c>
      <c r="AY733"/>
      <c r="AZ733"/>
      <c r="BA733"/>
    </row>
    <row r="734" spans="1:53">
      <c r="A734" s="2" t="s">
        <v>736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4" t="str">
        <f>_xlfn.XLOOKUP(PROPERTIES[[#This Row],[COUNTRY]],COUNTRIES[COUNTRY_DESCRIPTION],COUNTRIES[COUNTRY_LABEL],"")</f>
        <v/>
      </c>
      <c r="G734" t="str" cm="1">
        <f t="array" ref="G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4" t="s">
        <v>320</v>
      </c>
      <c r="I734">
        <v>45</v>
      </c>
      <c r="J734">
        <v>5</v>
      </c>
      <c r="K734">
        <v>5</v>
      </c>
      <c r="L734" t="str" cm="1">
        <f t="array" ref="L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4">
        <f>_xlfn.XLOOKUP("LOADINGSPEEDDEF_"&amp;PROPERTIES[[#This Row],[LOADINGSPEED]],LOADINGSPEEDDEF[TYPE],LOADINGSPEEDDEF[SPEED])</f>
        <v>40</v>
      </c>
      <c r="N734" cm="1">
        <f t="array" ref="N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4">
        <f>IF(ISNUMBER(SEARCH("passenger",PROPERTIES[[#This Row],[CARGODEF]])),1,0)</f>
        <v>1</v>
      </c>
      <c r="P734" s="29">
        <v>21</v>
      </c>
      <c r="Q734">
        <v>0</v>
      </c>
      <c r="R734">
        <v>90</v>
      </c>
      <c r="S734" s="26">
        <v>0</v>
      </c>
      <c r="T734" s="25">
        <f>IFERROR(PROPERTIES[[#This Row],[TE_STARTING_KN]]/(PROPERTIES[[#This Row],[WEIGHT]]*9.81),0)</f>
        <v>0</v>
      </c>
      <c r="U734" s="25">
        <v>0.3</v>
      </c>
      <c r="V734" s="22">
        <f>ROUND(IF(IFERROR(PROPERTIES[[#This Row],[TE_COEFFICIENT_CALC]],0)=0,PROPERTIES[[#This Row],[TE_COEFFICIENT_MANUAL]],PROPERTIES[[#This Row],[TE_COEFFICIENT_CALC]]),3)</f>
        <v>0.3</v>
      </c>
      <c r="W734" s="10" cm="1">
        <f t="array" ref="W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4" s="32">
        <v>0</v>
      </c>
      <c r="Y734" s="8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8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9" t="b">
        <v>0</v>
      </c>
      <c r="AY734"/>
      <c r="AZ734"/>
      <c r="BA734"/>
    </row>
    <row r="735" spans="1:53">
      <c r="A735" s="2" t="s">
        <v>737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5" t="str">
        <f>_xlfn.XLOOKUP(PROPERTIES[[#This Row],[COUNTRY]],COUNTRIES[COUNTRY_DESCRIPTION],COUNTRIES[COUNTRY_LABEL],"")</f>
        <v/>
      </c>
      <c r="G735" t="str" cm="1">
        <f t="array" ref="G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5" t="s">
        <v>320</v>
      </c>
      <c r="I735">
        <v>90</v>
      </c>
      <c r="J735">
        <v>5</v>
      </c>
      <c r="K735">
        <v>5</v>
      </c>
      <c r="L735" t="str" cm="1">
        <f t="array" ref="L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5">
        <f>_xlfn.XLOOKUP("LOADINGSPEEDDEF_"&amp;PROPERTIES[[#This Row],[LOADINGSPEED]],LOADINGSPEEDDEF[TYPE],LOADINGSPEEDDEF[SPEED])</f>
        <v>40</v>
      </c>
      <c r="N735" cm="1">
        <f t="array" ref="N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5">
        <f>IF(ISNUMBER(SEARCH("passenger",PROPERTIES[[#This Row],[CARGODEF]])),1,0)</f>
        <v>1</v>
      </c>
      <c r="P735" s="29">
        <v>22</v>
      </c>
      <c r="Q735">
        <v>0</v>
      </c>
      <c r="R735">
        <v>90</v>
      </c>
      <c r="S735" s="26">
        <v>0</v>
      </c>
      <c r="T735" s="25">
        <f>IFERROR(PROPERTIES[[#This Row],[TE_STARTING_KN]]/(PROPERTIES[[#This Row],[WEIGHT]]*9.81),0)</f>
        <v>0</v>
      </c>
      <c r="U735" s="25">
        <v>0.3</v>
      </c>
      <c r="V735" s="22">
        <f>ROUND(IF(IFERROR(PROPERTIES[[#This Row],[TE_COEFFICIENT_CALC]],0)=0,PROPERTIES[[#This Row],[TE_COEFFICIENT_MANUAL]],PROPERTIES[[#This Row],[TE_COEFFICIENT_CALC]]),3)</f>
        <v>0.3</v>
      </c>
      <c r="W735" s="10" cm="1">
        <f t="array" ref="W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5" s="32">
        <v>0</v>
      </c>
      <c r="Y735" s="8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8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9" t="b">
        <v>0</v>
      </c>
      <c r="AY735"/>
      <c r="AZ735"/>
      <c r="BA735"/>
    </row>
    <row r="736" spans="1:53">
      <c r="A736" s="2" t="s">
        <v>738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6" t="str">
        <f>_xlfn.XLOOKUP(PROPERTIES[[#This Row],[COUNTRY]],COUNTRIES[COUNTRY_DESCRIPTION],COUNTRIES[COUNTRY_LABEL],"")</f>
        <v/>
      </c>
      <c r="G736" t="str" cm="1">
        <f t="array" ref="G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6" t="s">
        <v>665</v>
      </c>
      <c r="I736">
        <v>32</v>
      </c>
      <c r="J736">
        <v>5</v>
      </c>
      <c r="K736">
        <v>5</v>
      </c>
      <c r="L736" t="str" cm="1">
        <f t="array" ref="L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6">
        <f>_xlfn.XLOOKUP("LOADINGSPEEDDEF_"&amp;PROPERTIES[[#This Row],[LOADINGSPEED]],LOADINGSPEEDDEF[TYPE],LOADINGSPEEDDEF[SPEED])</f>
        <v>15</v>
      </c>
      <c r="N736" cm="1">
        <f t="array" ref="N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6">
        <f>IF(ISNUMBER(SEARCH("passenger",PROPERTIES[[#This Row],[CARGODEF]])),1,0)</f>
        <v>0</v>
      </c>
      <c r="P736" s="29">
        <v>19.5</v>
      </c>
      <c r="Q736">
        <v>0</v>
      </c>
      <c r="R736">
        <v>90</v>
      </c>
      <c r="S736" s="26">
        <v>0</v>
      </c>
      <c r="T736" s="25">
        <f>IFERROR(PROPERTIES[[#This Row],[TE_STARTING_KN]]/(PROPERTIES[[#This Row],[WEIGHT]]*9.81),0)</f>
        <v>0</v>
      </c>
      <c r="U736" s="25">
        <v>0.3</v>
      </c>
      <c r="V736" s="22">
        <f>ROUND(IF(IFERROR(PROPERTIES[[#This Row],[TE_COEFFICIENT_CALC]],0)=0,PROPERTIES[[#This Row],[TE_COEFFICIENT_MANUAL]],PROPERTIES[[#This Row],[TE_COEFFICIENT_CALC]]),3)</f>
        <v>0.3</v>
      </c>
      <c r="W736" s="10" cm="1">
        <f t="array" ref="W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6" s="32">
        <v>0</v>
      </c>
      <c r="Y736" s="8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8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9" t="b">
        <v>0</v>
      </c>
      <c r="AY736"/>
      <c r="AZ736"/>
      <c r="BA736"/>
    </row>
    <row r="737" spans="1:53">
      <c r="A737" s="2" t="s">
        <v>739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7" t="str">
        <f>_xlfn.XLOOKUP(PROPERTIES[[#This Row],[COUNTRY]],COUNTRIES[COUNTRY_DESCRIPTION],COUNTRIES[COUNTRY_LABEL],"")</f>
        <v/>
      </c>
      <c r="G737" t="str" cm="1">
        <f t="array" ref="G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7" t="s">
        <v>320</v>
      </c>
      <c r="I737">
        <v>62</v>
      </c>
      <c r="J737">
        <v>6</v>
      </c>
      <c r="K737">
        <v>6</v>
      </c>
      <c r="L737" t="str" cm="1">
        <f t="array" ref="L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7">
        <f>_xlfn.XLOOKUP("LOADINGSPEEDDEF_"&amp;PROPERTIES[[#This Row],[LOADINGSPEED]],LOADINGSPEEDDEF[TYPE],LOADINGSPEEDDEF[SPEED])</f>
        <v>40</v>
      </c>
      <c r="N737" cm="1">
        <f t="array" ref="N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7">
        <f>IF(ISNUMBER(SEARCH("passenger",PROPERTIES[[#This Row],[CARGODEF]])),1,0)</f>
        <v>1</v>
      </c>
      <c r="P737" s="29">
        <v>27</v>
      </c>
      <c r="Q737">
        <v>0</v>
      </c>
      <c r="R737">
        <v>90</v>
      </c>
      <c r="S737" s="26">
        <v>0</v>
      </c>
      <c r="T737" s="25">
        <f>IFERROR(PROPERTIES[[#This Row],[TE_STARTING_KN]]/(PROPERTIES[[#This Row],[WEIGHT]]*9.81),0)</f>
        <v>0</v>
      </c>
      <c r="U737" s="25">
        <v>0.3</v>
      </c>
      <c r="V737" s="22">
        <f>ROUND(IF(IFERROR(PROPERTIES[[#This Row],[TE_COEFFICIENT_CALC]],0)=0,PROPERTIES[[#This Row],[TE_COEFFICIENT_MANUAL]],PROPERTIES[[#This Row],[TE_COEFFICIENT_CALC]]),3)</f>
        <v>0.3</v>
      </c>
      <c r="W737" s="10" cm="1">
        <f t="array" ref="W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7" s="32">
        <v>0</v>
      </c>
      <c r="Y737" s="8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8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9" t="b">
        <v>0</v>
      </c>
      <c r="AY737"/>
      <c r="AZ737"/>
      <c r="BA737"/>
    </row>
    <row r="738" spans="1:53">
      <c r="A738" s="2" t="s">
        <v>740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8" t="str">
        <f>_xlfn.XLOOKUP(PROPERTIES[[#This Row],[COUNTRY]],COUNTRIES[COUNTRY_DESCRIPTION],COUNTRIES[COUNTRY_LABEL],"")</f>
        <v/>
      </c>
      <c r="G738" t="str" cm="1">
        <f t="array" ref="G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8" t="s">
        <v>320</v>
      </c>
      <c r="I738">
        <v>100</v>
      </c>
      <c r="J738">
        <v>6</v>
      </c>
      <c r="K738">
        <v>6</v>
      </c>
      <c r="L738" t="str" cm="1">
        <f t="array" ref="L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8">
        <f>_xlfn.XLOOKUP("LOADINGSPEEDDEF_"&amp;PROPERTIES[[#This Row],[LOADINGSPEED]],LOADINGSPEEDDEF[TYPE],LOADINGSPEEDDEF[SPEED])</f>
        <v>40</v>
      </c>
      <c r="N738" cm="1">
        <f t="array" ref="N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8">
        <f>IF(ISNUMBER(SEARCH("passenger",PROPERTIES[[#This Row],[CARGODEF]])),1,0)</f>
        <v>1</v>
      </c>
      <c r="P738" s="29">
        <v>30</v>
      </c>
      <c r="Q738">
        <v>0</v>
      </c>
      <c r="R738">
        <v>90</v>
      </c>
      <c r="S738" s="26">
        <v>0</v>
      </c>
      <c r="T738" s="25">
        <f>IFERROR(PROPERTIES[[#This Row],[TE_STARTING_KN]]/(PROPERTIES[[#This Row],[WEIGHT]]*9.81),0)</f>
        <v>0</v>
      </c>
      <c r="U738" s="25">
        <v>0.3</v>
      </c>
      <c r="V738" s="22">
        <f>ROUND(IF(IFERROR(PROPERTIES[[#This Row],[TE_COEFFICIENT_CALC]],0)=0,PROPERTIES[[#This Row],[TE_COEFFICIENT_MANUAL]],PROPERTIES[[#This Row],[TE_COEFFICIENT_CALC]]),3)</f>
        <v>0.3</v>
      </c>
      <c r="W738" s="10" cm="1">
        <f t="array" ref="W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8" s="32">
        <v>0</v>
      </c>
      <c r="Y738" s="8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8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9" t="b">
        <v>0</v>
      </c>
      <c r="AY738"/>
      <c r="AZ738"/>
      <c r="BA738"/>
    </row>
    <row r="739" spans="1:53">
      <c r="A739" s="2" t="s">
        <v>741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9" t="str">
        <f>_xlfn.XLOOKUP(PROPERTIES[[#This Row],[COUNTRY]],COUNTRIES[COUNTRY_DESCRIPTION],COUNTRIES[COUNTRY_LABEL],"")</f>
        <v/>
      </c>
      <c r="G739" t="str" cm="1">
        <f t="array" ref="G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9" t="s">
        <v>665</v>
      </c>
      <c r="I739">
        <v>42</v>
      </c>
      <c r="J739">
        <v>6</v>
      </c>
      <c r="K739">
        <v>6</v>
      </c>
      <c r="L739" t="str" cm="1">
        <f t="array" ref="L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9">
        <f>_xlfn.XLOOKUP("LOADINGSPEEDDEF_"&amp;PROPERTIES[[#This Row],[LOADINGSPEED]],LOADINGSPEEDDEF[TYPE],LOADINGSPEEDDEF[SPEED])</f>
        <v>15</v>
      </c>
      <c r="N739" cm="1">
        <f t="array" ref="N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9">
        <f>IF(ISNUMBER(SEARCH("passenger",PROPERTIES[[#This Row],[CARGODEF]])),1,0)</f>
        <v>0</v>
      </c>
      <c r="P739" s="29">
        <v>27.5</v>
      </c>
      <c r="Q739">
        <v>0</v>
      </c>
      <c r="R739">
        <v>90</v>
      </c>
      <c r="S739" s="26">
        <v>0</v>
      </c>
      <c r="T739" s="25">
        <f>IFERROR(PROPERTIES[[#This Row],[TE_STARTING_KN]]/(PROPERTIES[[#This Row],[WEIGHT]]*9.81),0)</f>
        <v>0</v>
      </c>
      <c r="U739" s="25">
        <v>0.3</v>
      </c>
      <c r="V739" s="22">
        <f>ROUND(IF(IFERROR(PROPERTIES[[#This Row],[TE_COEFFICIENT_CALC]],0)=0,PROPERTIES[[#This Row],[TE_COEFFICIENT_MANUAL]],PROPERTIES[[#This Row],[TE_COEFFICIENT_CALC]]),3)</f>
        <v>0.3</v>
      </c>
      <c r="W739" s="10" cm="1">
        <f t="array" ref="W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9" s="32">
        <v>0</v>
      </c>
      <c r="Y739" s="8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8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9" t="b">
        <v>0</v>
      </c>
      <c r="AY739"/>
      <c r="AZ739"/>
      <c r="BA739"/>
    </row>
    <row r="740" spans="1:53">
      <c r="A740" s="2" t="s">
        <v>742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0" t="str">
        <f>_xlfn.XLOOKUP(PROPERTIES[[#This Row],[COUNTRY]],COUNTRIES[COUNTRY_DESCRIPTION],COUNTRIES[COUNTRY_LABEL],"")</f>
        <v/>
      </c>
      <c r="G740" t="str" cm="1">
        <f t="array" ref="G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0" t="s">
        <v>320</v>
      </c>
      <c r="I740">
        <v>70</v>
      </c>
      <c r="J740">
        <v>8</v>
      </c>
      <c r="K740">
        <v>8</v>
      </c>
      <c r="L740" t="str" cm="1">
        <f t="array" ref="L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0">
        <f>_xlfn.XLOOKUP("LOADINGSPEEDDEF_"&amp;PROPERTIES[[#This Row],[LOADINGSPEED]],LOADINGSPEEDDEF[TYPE],LOADINGSPEEDDEF[SPEED])</f>
        <v>40</v>
      </c>
      <c r="N740" cm="1">
        <f t="array" ref="N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0">
        <f>IF(ISNUMBER(SEARCH("passenger",PROPERTIES[[#This Row],[CARGODEF]])),1,0)</f>
        <v>1</v>
      </c>
      <c r="P740" s="29">
        <v>34</v>
      </c>
      <c r="Q740">
        <v>0</v>
      </c>
      <c r="R740">
        <v>145</v>
      </c>
      <c r="S740" s="26">
        <v>0</v>
      </c>
      <c r="T740" s="25">
        <f>IFERROR(PROPERTIES[[#This Row],[TE_STARTING_KN]]/(PROPERTIES[[#This Row],[WEIGHT]]*9.81),0)</f>
        <v>0</v>
      </c>
      <c r="U740" s="25">
        <v>0.3</v>
      </c>
      <c r="V740" s="22">
        <f>ROUND(IF(IFERROR(PROPERTIES[[#This Row],[TE_COEFFICIENT_CALC]],0)=0,PROPERTIES[[#This Row],[TE_COEFFICIENT_MANUAL]],PROPERTIES[[#This Row],[TE_COEFFICIENT_CALC]]),3)</f>
        <v>0.3</v>
      </c>
      <c r="W740" s="10" cm="1">
        <f t="array" ref="W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0" s="32">
        <v>0</v>
      </c>
      <c r="Y740" s="8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8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9" t="b">
        <v>0</v>
      </c>
      <c r="AY740"/>
      <c r="AZ740"/>
      <c r="BA740"/>
    </row>
    <row r="741" spans="1:53">
      <c r="A741" s="2" t="s">
        <v>743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1" t="str">
        <f>_xlfn.XLOOKUP(PROPERTIES[[#This Row],[COUNTRY]],COUNTRIES[COUNTRY_DESCRIPTION],COUNTRIES[COUNTRY_LABEL],"")</f>
        <v/>
      </c>
      <c r="G741" t="str" cm="1">
        <f t="array" ref="G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1" t="s">
        <v>320</v>
      </c>
      <c r="I741">
        <v>135</v>
      </c>
      <c r="J741">
        <v>8</v>
      </c>
      <c r="K741">
        <v>8</v>
      </c>
      <c r="L741" t="str" cm="1">
        <f t="array" ref="L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1">
        <f>_xlfn.XLOOKUP("LOADINGSPEEDDEF_"&amp;PROPERTIES[[#This Row],[LOADINGSPEED]],LOADINGSPEEDDEF[TYPE],LOADINGSPEEDDEF[SPEED])</f>
        <v>40</v>
      </c>
      <c r="N741" cm="1">
        <f t="array" ref="N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1">
        <f>IF(ISNUMBER(SEARCH("passenger",PROPERTIES[[#This Row],[CARGODEF]])),1,0)</f>
        <v>1</v>
      </c>
      <c r="P741" s="29">
        <v>32</v>
      </c>
      <c r="Q741">
        <v>0</v>
      </c>
      <c r="R741">
        <v>120</v>
      </c>
      <c r="S741" s="26">
        <v>0</v>
      </c>
      <c r="T741" s="25">
        <f>IFERROR(PROPERTIES[[#This Row],[TE_STARTING_KN]]/(PROPERTIES[[#This Row],[WEIGHT]]*9.81),0)</f>
        <v>0</v>
      </c>
      <c r="U741" s="25">
        <v>0.3</v>
      </c>
      <c r="V741" s="22">
        <f>ROUND(IF(IFERROR(PROPERTIES[[#This Row],[TE_COEFFICIENT_CALC]],0)=0,PROPERTIES[[#This Row],[TE_COEFFICIENT_MANUAL]],PROPERTIES[[#This Row],[TE_COEFFICIENT_CALC]]),3)</f>
        <v>0.3</v>
      </c>
      <c r="W741" s="10" cm="1">
        <f t="array" ref="W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1" s="32">
        <v>0</v>
      </c>
      <c r="Y741" s="8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8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9" t="b">
        <v>0</v>
      </c>
      <c r="AY741"/>
      <c r="AZ741"/>
      <c r="BA741"/>
    </row>
    <row r="742" spans="1:53">
      <c r="A742" s="2" t="s">
        <v>744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2" t="str">
        <f>_xlfn.XLOOKUP(PROPERTIES[[#This Row],[COUNTRY]],COUNTRIES[COUNTRY_DESCRIPTION],COUNTRIES[COUNTRY_LABEL],"")</f>
        <v/>
      </c>
      <c r="G742" t="str" cm="1">
        <f t="array" ref="G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2" t="s">
        <v>665</v>
      </c>
      <c r="I742">
        <v>75</v>
      </c>
      <c r="J742">
        <v>8</v>
      </c>
      <c r="K742">
        <v>8</v>
      </c>
      <c r="L742" t="str" cm="1">
        <f t="array" ref="L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2">
        <f>_xlfn.XLOOKUP("LOADINGSPEEDDEF_"&amp;PROPERTIES[[#This Row],[LOADINGSPEED]],LOADINGSPEEDDEF[TYPE],LOADINGSPEEDDEF[SPEED])</f>
        <v>15</v>
      </c>
      <c r="N742" cm="1">
        <f t="array" ref="N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2">
        <f>IF(ISNUMBER(SEARCH("passenger",PROPERTIES[[#This Row],[CARGODEF]])),1,0)</f>
        <v>0</v>
      </c>
      <c r="P742" s="29">
        <v>34</v>
      </c>
      <c r="Q742">
        <v>0</v>
      </c>
      <c r="R742">
        <v>145</v>
      </c>
      <c r="S742" s="26">
        <v>0</v>
      </c>
      <c r="T742" s="25">
        <f>IFERROR(PROPERTIES[[#This Row],[TE_STARTING_KN]]/(PROPERTIES[[#This Row],[WEIGHT]]*9.81),0)</f>
        <v>0</v>
      </c>
      <c r="U742" s="25">
        <v>0.3</v>
      </c>
      <c r="V742" s="22">
        <f>ROUND(IF(IFERROR(PROPERTIES[[#This Row],[TE_COEFFICIENT_CALC]],0)=0,PROPERTIES[[#This Row],[TE_COEFFICIENT_MANUAL]],PROPERTIES[[#This Row],[TE_COEFFICIENT_CALC]]),3)</f>
        <v>0.3</v>
      </c>
      <c r="W742" s="10" cm="1">
        <f t="array" ref="W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2" s="32">
        <v>0</v>
      </c>
      <c r="Y742" s="8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8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9" t="b">
        <v>0</v>
      </c>
      <c r="AY742"/>
      <c r="AZ742"/>
      <c r="BA742"/>
    </row>
    <row r="743" spans="1:53">
      <c r="A743" s="2" t="s">
        <v>745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3" t="str">
        <f>_xlfn.XLOOKUP(PROPERTIES[[#This Row],[COUNTRY]],COUNTRIES[COUNTRY_DESCRIPTION],COUNTRIES[COUNTRY_LABEL],"")</f>
        <v/>
      </c>
      <c r="G743" t="str" cm="1">
        <f t="array" ref="G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3" t="s">
        <v>320</v>
      </c>
      <c r="I743">
        <v>75</v>
      </c>
      <c r="J743">
        <v>8</v>
      </c>
      <c r="K743">
        <v>8</v>
      </c>
      <c r="L743" t="str" cm="1">
        <f t="array" ref="L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3">
        <f>_xlfn.XLOOKUP("LOADINGSPEEDDEF_"&amp;PROPERTIES[[#This Row],[LOADINGSPEED]],LOADINGSPEEDDEF[TYPE],LOADINGSPEEDDEF[SPEED])</f>
        <v>40</v>
      </c>
      <c r="N743" cm="1">
        <f t="array" ref="N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3">
        <f>IF(ISNUMBER(SEARCH("passenger",PROPERTIES[[#This Row],[CARGODEF]])),1,0)</f>
        <v>1</v>
      </c>
      <c r="P743" s="29">
        <v>30</v>
      </c>
      <c r="Q743">
        <v>0</v>
      </c>
      <c r="R743">
        <v>160</v>
      </c>
      <c r="S743" s="26">
        <v>0</v>
      </c>
      <c r="T743" s="25">
        <f>IFERROR(PROPERTIES[[#This Row],[TE_STARTING_KN]]/(PROPERTIES[[#This Row],[WEIGHT]]*9.81),0)</f>
        <v>0</v>
      </c>
      <c r="U743" s="25">
        <v>0.3</v>
      </c>
      <c r="V743" s="22">
        <f>ROUND(IF(IFERROR(PROPERTIES[[#This Row],[TE_COEFFICIENT_CALC]],0)=0,PROPERTIES[[#This Row],[TE_COEFFICIENT_MANUAL]],PROPERTIES[[#This Row],[TE_COEFFICIENT_CALC]]),3)</f>
        <v>0.3</v>
      </c>
      <c r="W743" s="10" cm="1">
        <f t="array" ref="W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3" s="32">
        <v>0</v>
      </c>
      <c r="Y743" s="8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8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9" t="b">
        <v>0</v>
      </c>
      <c r="AY743"/>
      <c r="AZ743"/>
      <c r="BA743"/>
    </row>
    <row r="744" spans="1:53">
      <c r="A744" s="2" t="s">
        <v>746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4" t="str">
        <f>_xlfn.XLOOKUP(PROPERTIES[[#This Row],[COUNTRY]],COUNTRIES[COUNTRY_DESCRIPTION],COUNTRIES[COUNTRY_LABEL],"")</f>
        <v/>
      </c>
      <c r="G744" t="str" cm="1">
        <f t="array" ref="G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4" t="s">
        <v>320</v>
      </c>
      <c r="I744">
        <v>150</v>
      </c>
      <c r="J744">
        <v>8</v>
      </c>
      <c r="K744">
        <v>8</v>
      </c>
      <c r="L744" t="str" cm="1">
        <f t="array" ref="L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4">
        <f>_xlfn.XLOOKUP("LOADINGSPEEDDEF_"&amp;PROPERTIES[[#This Row],[LOADINGSPEED]],LOADINGSPEEDDEF[TYPE],LOADINGSPEEDDEF[SPEED])</f>
        <v>40</v>
      </c>
      <c r="N744" cm="1">
        <f t="array" ref="N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4">
        <f>IF(ISNUMBER(SEARCH("passenger",PROPERTIES[[#This Row],[CARGODEF]])),1,0)</f>
        <v>1</v>
      </c>
      <c r="P744" s="29">
        <v>25</v>
      </c>
      <c r="Q744">
        <v>0</v>
      </c>
      <c r="R744">
        <v>120</v>
      </c>
      <c r="S744" s="26">
        <v>0</v>
      </c>
      <c r="T744" s="25">
        <f>IFERROR(PROPERTIES[[#This Row],[TE_STARTING_KN]]/(PROPERTIES[[#This Row],[WEIGHT]]*9.81),0)</f>
        <v>0</v>
      </c>
      <c r="U744" s="25">
        <v>0.3</v>
      </c>
      <c r="V744" s="22">
        <f>ROUND(IF(IFERROR(PROPERTIES[[#This Row],[TE_COEFFICIENT_CALC]],0)=0,PROPERTIES[[#This Row],[TE_COEFFICIENT_MANUAL]],PROPERTIES[[#This Row],[TE_COEFFICIENT_CALC]]),3)</f>
        <v>0.3</v>
      </c>
      <c r="W744" s="10" cm="1">
        <f t="array" ref="W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4" s="32">
        <v>0</v>
      </c>
      <c r="Y744" s="8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8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9" t="b">
        <v>0</v>
      </c>
      <c r="AY744"/>
      <c r="AZ744"/>
      <c r="BA744"/>
    </row>
    <row r="745" spans="1:53">
      <c r="A745" s="2" t="s">
        <v>747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5" t="str">
        <f>_xlfn.XLOOKUP(PROPERTIES[[#This Row],[COUNTRY]],COUNTRIES[COUNTRY_DESCRIPTION],COUNTRIES[COUNTRY_LABEL],"")</f>
        <v/>
      </c>
      <c r="G745" t="str" cm="1">
        <f t="array" ref="G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5" t="s">
        <v>665</v>
      </c>
      <c r="I745">
        <v>80</v>
      </c>
      <c r="J745">
        <v>8</v>
      </c>
      <c r="K745">
        <v>8</v>
      </c>
      <c r="L745" t="str" cm="1">
        <f t="array" ref="L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5">
        <f>_xlfn.XLOOKUP("LOADINGSPEEDDEF_"&amp;PROPERTIES[[#This Row],[LOADINGSPEED]],LOADINGSPEEDDEF[TYPE],LOADINGSPEEDDEF[SPEED])</f>
        <v>15</v>
      </c>
      <c r="N745" cm="1">
        <f t="array" ref="N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5">
        <f>IF(ISNUMBER(SEARCH("passenger",PROPERTIES[[#This Row],[CARGODEF]])),1,0)</f>
        <v>0</v>
      </c>
      <c r="P745" s="29">
        <v>24</v>
      </c>
      <c r="Q745">
        <v>0</v>
      </c>
      <c r="R745">
        <v>160</v>
      </c>
      <c r="S745" s="26">
        <v>0</v>
      </c>
      <c r="T745" s="25">
        <f>IFERROR(PROPERTIES[[#This Row],[TE_STARTING_KN]]/(PROPERTIES[[#This Row],[WEIGHT]]*9.81),0)</f>
        <v>0</v>
      </c>
      <c r="U745" s="25">
        <v>0.3</v>
      </c>
      <c r="V745" s="22">
        <f>ROUND(IF(IFERROR(PROPERTIES[[#This Row],[TE_COEFFICIENT_CALC]],0)=0,PROPERTIES[[#This Row],[TE_COEFFICIENT_MANUAL]],PROPERTIES[[#This Row],[TE_COEFFICIENT_CALC]]),3)</f>
        <v>0.3</v>
      </c>
      <c r="W745" s="10" cm="1">
        <f t="array" ref="W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5" s="32">
        <v>0</v>
      </c>
      <c r="Y745" s="8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8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9" t="b">
        <v>0</v>
      </c>
      <c r="AY745"/>
      <c r="AZ745"/>
      <c r="BA745"/>
    </row>
    <row r="746" spans="1:53">
      <c r="A746" s="2" t="s">
        <v>748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6" t="str">
        <f>_xlfn.XLOOKUP(PROPERTIES[[#This Row],[COUNTRY]],COUNTRIES[COUNTRY_DESCRIPTION],COUNTRIES[COUNTRY_LABEL],"")</f>
        <v/>
      </c>
      <c r="G746" t="str" cm="1">
        <f t="array" ref="G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6" t="s">
        <v>320</v>
      </c>
      <c r="I746">
        <v>170</v>
      </c>
      <c r="J746">
        <v>8</v>
      </c>
      <c r="K746">
        <v>8</v>
      </c>
      <c r="L746" t="str" cm="1">
        <f t="array" ref="L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6">
        <f>_xlfn.XLOOKUP("LOADINGSPEEDDEF_"&amp;PROPERTIES[[#This Row],[LOADINGSPEED]],LOADINGSPEEDDEF[TYPE],LOADINGSPEEDDEF[SPEED])</f>
        <v>40</v>
      </c>
      <c r="N746" cm="1">
        <f t="array" ref="N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6">
        <f>IF(ISNUMBER(SEARCH("passenger",PROPERTIES[[#This Row],[CARGODEF]])),1,0)</f>
        <v>1</v>
      </c>
      <c r="P746" s="29">
        <v>75</v>
      </c>
      <c r="Q746">
        <v>0</v>
      </c>
      <c r="R746">
        <v>130</v>
      </c>
      <c r="S746" s="26">
        <v>0</v>
      </c>
      <c r="T746" s="25">
        <f>IFERROR(PROPERTIES[[#This Row],[TE_STARTING_KN]]/(PROPERTIES[[#This Row],[WEIGHT]]*9.81),0)</f>
        <v>0</v>
      </c>
      <c r="U746" s="25">
        <v>0.3</v>
      </c>
      <c r="V746" s="22">
        <f>ROUND(IF(IFERROR(PROPERTIES[[#This Row],[TE_COEFFICIENT_CALC]],0)=0,PROPERTIES[[#This Row],[TE_COEFFICIENT_MANUAL]],PROPERTIES[[#This Row],[TE_COEFFICIENT_CALC]]),3)</f>
        <v>0.3</v>
      </c>
      <c r="W746" s="10" cm="1">
        <f t="array" ref="W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6" s="32">
        <v>0</v>
      </c>
      <c r="Y746" s="8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8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9" t="b">
        <v>0</v>
      </c>
      <c r="AY746"/>
      <c r="AZ746"/>
      <c r="BA746"/>
    </row>
    <row r="747" spans="1:53">
      <c r="A747" s="2" t="s">
        <v>749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7" t="str">
        <f>_xlfn.XLOOKUP(PROPERTIES[[#This Row],[COUNTRY]],COUNTRIES[COUNTRY_DESCRIPTION],COUNTRIES[COUNTRY_LABEL],"")</f>
        <v/>
      </c>
      <c r="G747" t="str" cm="1">
        <f t="array" ref="G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7" t="s">
        <v>320</v>
      </c>
      <c r="I747">
        <v>72</v>
      </c>
      <c r="J747">
        <v>7</v>
      </c>
      <c r="K747">
        <v>7</v>
      </c>
      <c r="L747" t="str" cm="1">
        <f t="array" ref="L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7">
        <f>_xlfn.XLOOKUP("LOADINGSPEEDDEF_"&amp;PROPERTIES[[#This Row],[LOADINGSPEED]],LOADINGSPEEDDEF[TYPE],LOADINGSPEEDDEF[SPEED])</f>
        <v>40</v>
      </c>
      <c r="N747" cm="1">
        <f t="array" ref="N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7">
        <f>IF(ISNUMBER(SEARCH("passenger",PROPERTIES[[#This Row],[CARGODEF]])),1,0)</f>
        <v>1</v>
      </c>
      <c r="P747" s="29">
        <v>35</v>
      </c>
      <c r="Q747">
        <v>0</v>
      </c>
      <c r="R747">
        <v>145</v>
      </c>
      <c r="S747" s="26">
        <v>0</v>
      </c>
      <c r="T747" s="25">
        <f>IFERROR(PROPERTIES[[#This Row],[TE_STARTING_KN]]/(PROPERTIES[[#This Row],[WEIGHT]]*9.81),0)</f>
        <v>0</v>
      </c>
      <c r="U747" s="25">
        <v>0.3</v>
      </c>
      <c r="V747" s="22">
        <f>ROUND(IF(IFERROR(PROPERTIES[[#This Row],[TE_COEFFICIENT_CALC]],0)=0,PROPERTIES[[#This Row],[TE_COEFFICIENT_MANUAL]],PROPERTIES[[#This Row],[TE_COEFFICIENT_CALC]]),3)</f>
        <v>0.3</v>
      </c>
      <c r="W747" s="10" cm="1">
        <f t="array" ref="W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7" s="32">
        <v>0</v>
      </c>
      <c r="Y747" s="8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8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9" t="b">
        <v>0</v>
      </c>
      <c r="AY747"/>
      <c r="AZ747"/>
      <c r="BA747"/>
    </row>
    <row r="748" spans="1:53">
      <c r="A748" s="2" t="s">
        <v>750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8" t="str">
        <f>_xlfn.XLOOKUP(PROPERTIES[[#This Row],[COUNTRY]],COUNTRIES[COUNTRY_DESCRIPTION],COUNTRIES[COUNTRY_LABEL],"")</f>
        <v/>
      </c>
      <c r="G748" t="str" cm="1">
        <f t="array" ref="G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8" t="s">
        <v>320</v>
      </c>
      <c r="I748">
        <v>150</v>
      </c>
      <c r="J748">
        <v>7</v>
      </c>
      <c r="K748">
        <v>7</v>
      </c>
      <c r="L748" t="str" cm="1">
        <f t="array" ref="L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8">
        <f>_xlfn.XLOOKUP("LOADINGSPEEDDEF_"&amp;PROPERTIES[[#This Row],[LOADINGSPEED]],LOADINGSPEEDDEF[TYPE],LOADINGSPEEDDEF[SPEED])</f>
        <v>40</v>
      </c>
      <c r="N748" cm="1">
        <f t="array" ref="N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8">
        <f>IF(ISNUMBER(SEARCH("passenger",PROPERTIES[[#This Row],[CARGODEF]])),1,0)</f>
        <v>1</v>
      </c>
      <c r="P748" s="29">
        <v>31</v>
      </c>
      <c r="Q748">
        <v>0</v>
      </c>
      <c r="R748">
        <v>120</v>
      </c>
      <c r="S748" s="26">
        <v>0</v>
      </c>
      <c r="T748" s="25">
        <f>IFERROR(PROPERTIES[[#This Row],[TE_STARTING_KN]]/(PROPERTIES[[#This Row],[WEIGHT]]*9.81),0)</f>
        <v>0</v>
      </c>
      <c r="U748" s="25">
        <v>0.3</v>
      </c>
      <c r="V748" s="22">
        <f>ROUND(IF(IFERROR(PROPERTIES[[#This Row],[TE_COEFFICIENT_CALC]],0)=0,PROPERTIES[[#This Row],[TE_COEFFICIENT_MANUAL]],PROPERTIES[[#This Row],[TE_COEFFICIENT_CALC]]),3)</f>
        <v>0.3</v>
      </c>
      <c r="W748" s="10" cm="1">
        <f t="array" ref="W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8" s="32">
        <v>0</v>
      </c>
      <c r="Y748" s="8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8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9" t="b">
        <v>0</v>
      </c>
      <c r="AY748"/>
      <c r="AZ748"/>
      <c r="BA748"/>
    </row>
    <row r="749" spans="1:53">
      <c r="A749" s="2" t="s">
        <v>751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9" t="str">
        <f>_xlfn.XLOOKUP(PROPERTIES[[#This Row],[COUNTRY]],COUNTRIES[COUNTRY_DESCRIPTION],COUNTRIES[COUNTRY_LABEL],"")</f>
        <v/>
      </c>
      <c r="G749" t="str" cm="1">
        <f t="array" ref="G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9" t="s">
        <v>665</v>
      </c>
      <c r="I749">
        <v>80</v>
      </c>
      <c r="J749">
        <v>7</v>
      </c>
      <c r="K749">
        <v>7</v>
      </c>
      <c r="L749" t="str" cm="1">
        <f t="array" ref="L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9">
        <f>_xlfn.XLOOKUP("LOADINGSPEEDDEF_"&amp;PROPERTIES[[#This Row],[LOADINGSPEED]],LOADINGSPEEDDEF[TYPE],LOADINGSPEEDDEF[SPEED])</f>
        <v>15</v>
      </c>
      <c r="N749" cm="1">
        <f t="array" ref="N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9">
        <f>IF(ISNUMBER(SEARCH("passenger",PROPERTIES[[#This Row],[CARGODEF]])),1,0)</f>
        <v>0</v>
      </c>
      <c r="P749" s="29">
        <v>34</v>
      </c>
      <c r="Q749">
        <v>0</v>
      </c>
      <c r="R749">
        <v>145</v>
      </c>
      <c r="S749" s="26">
        <v>0</v>
      </c>
      <c r="T749" s="25">
        <f>IFERROR(PROPERTIES[[#This Row],[TE_STARTING_KN]]/(PROPERTIES[[#This Row],[WEIGHT]]*9.81),0)</f>
        <v>0</v>
      </c>
      <c r="U749" s="25">
        <v>0.3</v>
      </c>
      <c r="V749" s="22">
        <f>ROUND(IF(IFERROR(PROPERTIES[[#This Row],[TE_COEFFICIENT_CALC]],0)=0,PROPERTIES[[#This Row],[TE_COEFFICIENT_MANUAL]],PROPERTIES[[#This Row],[TE_COEFFICIENT_CALC]]),3)</f>
        <v>0.3</v>
      </c>
      <c r="W749" s="10" cm="1">
        <f t="array" ref="W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9" s="32">
        <v>0</v>
      </c>
      <c r="Y749" s="8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8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9" t="b">
        <v>0</v>
      </c>
      <c r="AY749"/>
      <c r="AZ749"/>
      <c r="BA749"/>
    </row>
    <row r="750" spans="1:53">
      <c r="A750" s="2" t="s">
        <v>752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0" t="str">
        <f>_xlfn.XLOOKUP(PROPERTIES[[#This Row],[COUNTRY]],COUNTRIES[COUNTRY_DESCRIPTION],COUNTRIES[COUNTRY_LABEL],"")</f>
        <v/>
      </c>
      <c r="G750" t="str" cm="1">
        <f t="array" ref="G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0" t="s">
        <v>320</v>
      </c>
      <c r="I750">
        <v>72</v>
      </c>
      <c r="J750">
        <v>8</v>
      </c>
      <c r="K750">
        <v>8</v>
      </c>
      <c r="L750" t="str" cm="1">
        <f t="array" ref="L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0">
        <f>_xlfn.XLOOKUP("LOADINGSPEEDDEF_"&amp;PROPERTIES[[#This Row],[LOADINGSPEED]],LOADINGSPEEDDEF[TYPE],LOADINGSPEEDDEF[SPEED])</f>
        <v>40</v>
      </c>
      <c r="N750" cm="1">
        <f t="array" ref="N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0">
        <f>IF(ISNUMBER(SEARCH("passenger",PROPERTIES[[#This Row],[CARGODEF]])),1,0)</f>
        <v>1</v>
      </c>
      <c r="P750" s="29">
        <v>42</v>
      </c>
      <c r="Q750">
        <v>0</v>
      </c>
      <c r="R750">
        <v>160</v>
      </c>
      <c r="S750" s="26">
        <v>0</v>
      </c>
      <c r="T750" s="25">
        <f>IFERROR(PROPERTIES[[#This Row],[TE_STARTING_KN]]/(PROPERTIES[[#This Row],[WEIGHT]]*9.81),0)</f>
        <v>0</v>
      </c>
      <c r="U750" s="25">
        <v>0.3</v>
      </c>
      <c r="V750" s="22">
        <f>ROUND(IF(IFERROR(PROPERTIES[[#This Row],[TE_COEFFICIENT_CALC]],0)=0,PROPERTIES[[#This Row],[TE_COEFFICIENT_MANUAL]],PROPERTIES[[#This Row],[TE_COEFFICIENT_CALC]]),3)</f>
        <v>0.3</v>
      </c>
      <c r="W750" s="10" cm="1">
        <f t="array" ref="W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0" s="32">
        <v>0</v>
      </c>
      <c r="Y750" s="8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8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9" t="b">
        <v>0</v>
      </c>
      <c r="AY750"/>
      <c r="AZ750"/>
      <c r="BA750"/>
    </row>
    <row r="751" spans="1:53">
      <c r="A751" s="2" t="s">
        <v>753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1" t="str">
        <f>_xlfn.XLOOKUP(PROPERTIES[[#This Row],[COUNTRY]],COUNTRIES[COUNTRY_DESCRIPTION],COUNTRIES[COUNTRY_LABEL],"")</f>
        <v/>
      </c>
      <c r="G751" t="str" cm="1">
        <f t="array" ref="G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1" t="s">
        <v>320</v>
      </c>
      <c r="I751">
        <v>48</v>
      </c>
      <c r="J751">
        <v>8</v>
      </c>
      <c r="K751">
        <v>8</v>
      </c>
      <c r="L751" t="str" cm="1">
        <f t="array" ref="L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1">
        <f>_xlfn.XLOOKUP("LOADINGSPEEDDEF_"&amp;PROPERTIES[[#This Row],[LOADINGSPEED]],LOADINGSPEEDDEF[TYPE],LOADINGSPEEDDEF[SPEED])</f>
        <v>40</v>
      </c>
      <c r="N751" cm="1">
        <f t="array" ref="N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1">
        <f>IF(ISNUMBER(SEARCH("passenger",PROPERTIES[[#This Row],[CARGODEF]])),1,0)</f>
        <v>1</v>
      </c>
      <c r="P751" s="29">
        <v>48</v>
      </c>
      <c r="Q751">
        <v>0</v>
      </c>
      <c r="R751">
        <v>160</v>
      </c>
      <c r="S751" s="26">
        <v>0</v>
      </c>
      <c r="T751" s="25">
        <f>IFERROR(PROPERTIES[[#This Row],[TE_STARTING_KN]]/(PROPERTIES[[#This Row],[WEIGHT]]*9.81),0)</f>
        <v>0</v>
      </c>
      <c r="U751" s="25">
        <v>0.3</v>
      </c>
      <c r="V751" s="22">
        <f>ROUND(IF(IFERROR(PROPERTIES[[#This Row],[TE_COEFFICIENT_CALC]],0)=0,PROPERTIES[[#This Row],[TE_COEFFICIENT_MANUAL]],PROPERTIES[[#This Row],[TE_COEFFICIENT_CALC]]),3)</f>
        <v>0.3</v>
      </c>
      <c r="W751" s="10" cm="1">
        <f t="array" ref="W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1" s="32">
        <v>0</v>
      </c>
      <c r="Y751" s="8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8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9" t="b">
        <v>0</v>
      </c>
      <c r="AY751"/>
      <c r="AZ751"/>
      <c r="BA751"/>
    </row>
    <row r="752" spans="1:53">
      <c r="A752" s="2" t="s">
        <v>754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2" t="str">
        <f>_xlfn.XLOOKUP(PROPERTIES[[#This Row],[COUNTRY]],COUNTRIES[COUNTRY_DESCRIPTION],COUNTRIES[COUNTRY_LABEL],"")</f>
        <v/>
      </c>
      <c r="G752" t="str" cm="1">
        <f t="array" ref="G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2" t="s">
        <v>320</v>
      </c>
      <c r="I752">
        <v>175</v>
      </c>
      <c r="J752">
        <v>8</v>
      </c>
      <c r="K752">
        <v>8</v>
      </c>
      <c r="L752" t="str" cm="1">
        <f t="array" ref="L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2">
        <f>_xlfn.XLOOKUP("LOADINGSPEEDDEF_"&amp;PROPERTIES[[#This Row],[LOADINGSPEED]],LOADINGSPEEDDEF[TYPE],LOADINGSPEEDDEF[SPEED])</f>
        <v>40</v>
      </c>
      <c r="N752" cm="1">
        <f t="array" ref="N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2">
        <f>IF(ISNUMBER(SEARCH("passenger",PROPERTIES[[#This Row],[CARGODEF]])),1,0)</f>
        <v>1</v>
      </c>
      <c r="P752" s="29">
        <v>35</v>
      </c>
      <c r="Q752">
        <v>0</v>
      </c>
      <c r="R752">
        <v>140</v>
      </c>
      <c r="S752" s="26">
        <v>0</v>
      </c>
      <c r="T752" s="25">
        <f>IFERROR(PROPERTIES[[#This Row],[TE_STARTING_KN]]/(PROPERTIES[[#This Row],[WEIGHT]]*9.81),0)</f>
        <v>0</v>
      </c>
      <c r="U752" s="25">
        <v>0.3</v>
      </c>
      <c r="V752" s="22">
        <f>ROUND(IF(IFERROR(PROPERTIES[[#This Row],[TE_COEFFICIENT_CALC]],0)=0,PROPERTIES[[#This Row],[TE_COEFFICIENT_MANUAL]],PROPERTIES[[#This Row],[TE_COEFFICIENT_CALC]]),3)</f>
        <v>0.3</v>
      </c>
      <c r="W752" s="10" cm="1">
        <f t="array" ref="W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2" s="32">
        <v>0</v>
      </c>
      <c r="Y752" s="8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8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9" t="b">
        <v>0</v>
      </c>
      <c r="AY752"/>
      <c r="AZ752"/>
      <c r="BA752"/>
    </row>
    <row r="753" spans="1:53">
      <c r="A753" s="2" t="s">
        <v>755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3" t="str">
        <f>_xlfn.XLOOKUP(PROPERTIES[[#This Row],[COUNTRY]],COUNTRIES[COUNTRY_DESCRIPTION],COUNTRIES[COUNTRY_LABEL],"")</f>
        <v/>
      </c>
      <c r="G753" t="str" cm="1">
        <f t="array" ref="G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3" t="s">
        <v>320</v>
      </c>
      <c r="I753">
        <v>72</v>
      </c>
      <c r="J753">
        <v>7</v>
      </c>
      <c r="K753">
        <v>7</v>
      </c>
      <c r="L753" t="str" cm="1">
        <f t="array" ref="L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3">
        <f>_xlfn.XLOOKUP("LOADINGSPEEDDEF_"&amp;PROPERTIES[[#This Row],[LOADINGSPEED]],LOADINGSPEEDDEF[TYPE],LOADINGSPEEDDEF[SPEED])</f>
        <v>40</v>
      </c>
      <c r="N753" cm="1">
        <f t="array" ref="N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3">
        <f>IF(ISNUMBER(SEARCH("passenger",PROPERTIES[[#This Row],[CARGODEF]])),1,0)</f>
        <v>1</v>
      </c>
      <c r="P753" s="29">
        <v>30</v>
      </c>
      <c r="Q753">
        <v>0</v>
      </c>
      <c r="R753">
        <v>100</v>
      </c>
      <c r="S753" s="26">
        <v>0</v>
      </c>
      <c r="T753" s="25">
        <f>IFERROR(PROPERTIES[[#This Row],[TE_STARTING_KN]]/(PROPERTIES[[#This Row],[WEIGHT]]*9.81),0)</f>
        <v>0</v>
      </c>
      <c r="U753" s="25">
        <v>0.3</v>
      </c>
      <c r="V753" s="22">
        <f>ROUND(IF(IFERROR(PROPERTIES[[#This Row],[TE_COEFFICIENT_CALC]],0)=0,PROPERTIES[[#This Row],[TE_COEFFICIENT_MANUAL]],PROPERTIES[[#This Row],[TE_COEFFICIENT_CALC]]),3)</f>
        <v>0.3</v>
      </c>
      <c r="W753" s="10" cm="1">
        <f t="array" ref="W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3" s="32">
        <v>0</v>
      </c>
      <c r="Y753" s="8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8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9" t="b">
        <v>0</v>
      </c>
      <c r="AY753"/>
      <c r="AZ753"/>
      <c r="BA753"/>
    </row>
    <row r="754" spans="1:53">
      <c r="A754" s="2" t="s">
        <v>756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4" t="str">
        <f>_xlfn.XLOOKUP(PROPERTIES[[#This Row],[COUNTRY]],COUNTRIES[COUNTRY_DESCRIPTION],COUNTRIES[COUNTRY_LABEL],"")</f>
        <v/>
      </c>
      <c r="G754" t="str" cm="1">
        <f t="array" ref="G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4" t="s">
        <v>320</v>
      </c>
      <c r="I754">
        <v>150</v>
      </c>
      <c r="J754">
        <v>8</v>
      </c>
      <c r="K754">
        <v>8</v>
      </c>
      <c r="L754" t="str" cm="1">
        <f t="array" ref="L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4">
        <f>_xlfn.XLOOKUP("LOADINGSPEEDDEF_"&amp;PROPERTIES[[#This Row],[LOADINGSPEED]],LOADINGSPEEDDEF[TYPE],LOADINGSPEEDDEF[SPEED])</f>
        <v>40</v>
      </c>
      <c r="N754" cm="1">
        <f t="array" ref="N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4">
        <f>IF(ISNUMBER(SEARCH("passenger",PROPERTIES[[#This Row],[CARGODEF]])),1,0)</f>
        <v>1</v>
      </c>
      <c r="P754" s="29">
        <f>85/2</f>
        <v>42.5</v>
      </c>
      <c r="Q754">
        <v>0</v>
      </c>
      <c r="R754">
        <v>120</v>
      </c>
      <c r="S754" s="26">
        <v>0</v>
      </c>
      <c r="T754" s="25">
        <f>IFERROR(PROPERTIES[[#This Row],[TE_STARTING_KN]]/(PROPERTIES[[#This Row],[WEIGHT]]*9.81),0)</f>
        <v>0</v>
      </c>
      <c r="U754" s="25">
        <v>0.3</v>
      </c>
      <c r="V754" s="22">
        <f>ROUND(IF(IFERROR(PROPERTIES[[#This Row],[TE_COEFFICIENT_CALC]],0)=0,PROPERTIES[[#This Row],[TE_COEFFICIENT_MANUAL]],PROPERTIES[[#This Row],[TE_COEFFICIENT_CALC]]),3)</f>
        <v>0.3</v>
      </c>
      <c r="W754" s="10" cm="1">
        <f t="array" ref="W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4" s="32">
        <v>0</v>
      </c>
      <c r="Y754" s="8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8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9" t="b">
        <v>0</v>
      </c>
      <c r="AY754"/>
      <c r="AZ754"/>
      <c r="BA754"/>
    </row>
    <row r="755" spans="1:53">
      <c r="A755" s="2" t="s">
        <v>757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5" t="str">
        <f>_xlfn.XLOOKUP(PROPERTIES[[#This Row],[COUNTRY]],COUNTRIES[COUNTRY_DESCRIPTION],COUNTRIES[COUNTRY_LABEL],"")</f>
        <v/>
      </c>
      <c r="G755" t="str" cm="1">
        <f t="array" ref="G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5" t="s">
        <v>665</v>
      </c>
      <c r="I755">
        <v>120</v>
      </c>
      <c r="J755">
        <v>8</v>
      </c>
      <c r="K755">
        <v>8</v>
      </c>
      <c r="L755" t="str" cm="1">
        <f t="array" ref="L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5">
        <f>_xlfn.XLOOKUP("LOADINGSPEEDDEF_"&amp;PROPERTIES[[#This Row],[LOADINGSPEED]],LOADINGSPEEDDEF[TYPE],LOADINGSPEEDDEF[SPEED])</f>
        <v>15</v>
      </c>
      <c r="N755" cm="1">
        <f t="array" ref="N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5">
        <f>IF(ISNUMBER(SEARCH("passenger",PROPERTIES[[#This Row],[CARGODEF]])),1,0)</f>
        <v>0</v>
      </c>
      <c r="P755" s="29">
        <v>40</v>
      </c>
      <c r="Q755">
        <v>0</v>
      </c>
      <c r="R755">
        <v>160</v>
      </c>
      <c r="S755" s="26">
        <v>0</v>
      </c>
      <c r="T755" s="25">
        <f>IFERROR(PROPERTIES[[#This Row],[TE_STARTING_KN]]/(PROPERTIES[[#This Row],[WEIGHT]]*9.81),0)</f>
        <v>0</v>
      </c>
      <c r="U755" s="25">
        <v>0.3</v>
      </c>
      <c r="V755" s="22">
        <f>ROUND(IF(IFERROR(PROPERTIES[[#This Row],[TE_COEFFICIENT_CALC]],0)=0,PROPERTIES[[#This Row],[TE_COEFFICIENT_MANUAL]],PROPERTIES[[#This Row],[TE_COEFFICIENT_CALC]]),3)</f>
        <v>0.3</v>
      </c>
      <c r="W755" s="10" cm="1">
        <f t="array" ref="W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5" s="32">
        <v>0</v>
      </c>
      <c r="Y755" s="8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8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9" t="b">
        <v>0</v>
      </c>
      <c r="AY755"/>
      <c r="AZ755"/>
      <c r="BA755"/>
    </row>
    <row r="756" spans="1:53">
      <c r="A756" s="2" t="s">
        <v>758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6" t="str">
        <f>_xlfn.XLOOKUP(PROPERTIES[[#This Row],[COUNTRY]],COUNTRIES[COUNTRY_DESCRIPTION],COUNTRIES[COUNTRY_LABEL],"")</f>
        <v/>
      </c>
      <c r="G756" t="str" cm="1">
        <f t="array" ref="G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6" t="s">
        <v>320</v>
      </c>
      <c r="I756">
        <v>108</v>
      </c>
      <c r="J756">
        <v>8</v>
      </c>
      <c r="K756">
        <v>8</v>
      </c>
      <c r="L756" t="str" cm="1">
        <f t="array" ref="L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6">
        <f>_xlfn.XLOOKUP("LOADINGSPEEDDEF_"&amp;PROPERTIES[[#This Row],[LOADINGSPEED]],LOADINGSPEEDDEF[TYPE],LOADINGSPEEDDEF[SPEED])</f>
        <v>40</v>
      </c>
      <c r="N756" cm="1">
        <f t="array" ref="N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6">
        <f>IF(ISNUMBER(SEARCH("passenger",PROPERTIES[[#This Row],[CARGODEF]])),1,0)</f>
        <v>1</v>
      </c>
      <c r="P756" s="29">
        <v>42</v>
      </c>
      <c r="Q756">
        <v>0</v>
      </c>
      <c r="R756">
        <v>130</v>
      </c>
      <c r="S756" s="26">
        <v>0</v>
      </c>
      <c r="T756" s="25">
        <f>IFERROR(PROPERTIES[[#This Row],[TE_STARTING_KN]]/(PROPERTIES[[#This Row],[WEIGHT]]*9.81),0)</f>
        <v>0</v>
      </c>
      <c r="U756" s="25">
        <v>0.3</v>
      </c>
      <c r="V756" s="22">
        <f>ROUND(IF(IFERROR(PROPERTIES[[#This Row],[TE_COEFFICIENT_CALC]],0)=0,PROPERTIES[[#This Row],[TE_COEFFICIENT_MANUAL]],PROPERTIES[[#This Row],[TE_COEFFICIENT_CALC]]),3)</f>
        <v>0.3</v>
      </c>
      <c r="W756" s="10" cm="1">
        <f t="array" ref="W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6" s="32">
        <v>0</v>
      </c>
      <c r="Y756" s="8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8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9" t="b">
        <v>0</v>
      </c>
      <c r="AY756"/>
      <c r="AZ756"/>
      <c r="BA756"/>
    </row>
    <row r="757" spans="1:53">
      <c r="A757" s="2" t="s">
        <v>759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7" t="str">
        <f>_xlfn.XLOOKUP(PROPERTIES[[#This Row],[COUNTRY]],COUNTRIES[COUNTRY_DESCRIPTION],COUNTRIES[COUNTRY_LABEL],"")</f>
        <v/>
      </c>
      <c r="G757" t="str" cm="1">
        <f t="array" ref="G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7" t="s">
        <v>320</v>
      </c>
      <c r="I757">
        <v>210</v>
      </c>
      <c r="J757">
        <v>8</v>
      </c>
      <c r="K757">
        <v>8</v>
      </c>
      <c r="L757" t="str" cm="1">
        <f t="array" ref="L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7">
        <f>_xlfn.XLOOKUP("LOADINGSPEEDDEF_"&amp;PROPERTIES[[#This Row],[LOADINGSPEED]],LOADINGSPEEDDEF[TYPE],LOADINGSPEEDDEF[SPEED])</f>
        <v>40</v>
      </c>
      <c r="N757" cm="1">
        <f t="array" ref="N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7">
        <f>IF(ISNUMBER(SEARCH("passenger",PROPERTIES[[#This Row],[CARGODEF]])),1,0)</f>
        <v>1</v>
      </c>
      <c r="P757" s="29">
        <v>39</v>
      </c>
      <c r="Q757">
        <v>0</v>
      </c>
      <c r="R757">
        <v>110</v>
      </c>
      <c r="S757" s="26">
        <v>0</v>
      </c>
      <c r="T757" s="25">
        <f>IFERROR(PROPERTIES[[#This Row],[TE_STARTING_KN]]/(PROPERTIES[[#This Row],[WEIGHT]]*9.81),0)</f>
        <v>0</v>
      </c>
      <c r="U757" s="25">
        <v>0.3</v>
      </c>
      <c r="V757" s="22">
        <f>ROUND(IF(IFERROR(PROPERTIES[[#This Row],[TE_COEFFICIENT_CALC]],0)=0,PROPERTIES[[#This Row],[TE_COEFFICIENT_MANUAL]],PROPERTIES[[#This Row],[TE_COEFFICIENT_CALC]]),3)</f>
        <v>0.3</v>
      </c>
      <c r="W757" s="10" cm="1">
        <f t="array" ref="W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7" s="32">
        <v>0</v>
      </c>
      <c r="Y757" s="8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8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9" t="b">
        <v>0</v>
      </c>
      <c r="AY757"/>
      <c r="AZ757"/>
      <c r="BA757"/>
    </row>
    <row r="758" spans="1:53">
      <c r="A758" s="2" t="s">
        <v>760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8" t="str">
        <f>_xlfn.XLOOKUP(PROPERTIES[[#This Row],[COUNTRY]],COUNTRIES[COUNTRY_DESCRIPTION],COUNTRIES[COUNTRY_LABEL],"")</f>
        <v/>
      </c>
      <c r="G758" t="str" cm="1">
        <f t="array" ref="G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8" t="s">
        <v>320</v>
      </c>
      <c r="I758">
        <v>140</v>
      </c>
      <c r="J758">
        <v>8</v>
      </c>
      <c r="K758">
        <v>8</v>
      </c>
      <c r="L758" t="str" cm="1">
        <f t="array" ref="L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8">
        <f>_xlfn.XLOOKUP("LOADINGSPEEDDEF_"&amp;PROPERTIES[[#This Row],[LOADINGSPEED]],LOADINGSPEEDDEF[TYPE],LOADINGSPEEDDEF[SPEED])</f>
        <v>40</v>
      </c>
      <c r="N758" cm="1">
        <f t="array" ref="N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8">
        <f>IF(ISNUMBER(SEARCH("passenger",PROPERTIES[[#This Row],[CARGODEF]])),1,0)</f>
        <v>1</v>
      </c>
      <c r="P758" s="29">
        <v>37.5</v>
      </c>
      <c r="Q758">
        <v>0</v>
      </c>
      <c r="R758">
        <v>110</v>
      </c>
      <c r="S758" s="26">
        <v>0</v>
      </c>
      <c r="T758" s="25">
        <f>IFERROR(PROPERTIES[[#This Row],[TE_STARTING_KN]]/(PROPERTIES[[#This Row],[WEIGHT]]*9.81),0)</f>
        <v>0</v>
      </c>
      <c r="U758" s="25">
        <v>0.3</v>
      </c>
      <c r="V758" s="22">
        <f>ROUND(IF(IFERROR(PROPERTIES[[#This Row],[TE_COEFFICIENT_CALC]],0)=0,PROPERTIES[[#This Row],[TE_COEFFICIENT_MANUAL]],PROPERTIES[[#This Row],[TE_COEFFICIENT_CALC]]),3)</f>
        <v>0.3</v>
      </c>
      <c r="W758" s="10" cm="1">
        <f t="array" ref="W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8" s="32">
        <v>0</v>
      </c>
      <c r="Y758" s="8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8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9" t="b">
        <v>0</v>
      </c>
      <c r="AY758"/>
      <c r="AZ758"/>
      <c r="BA758"/>
    </row>
    <row r="759" spans="1:53">
      <c r="A759" s="2" t="s">
        <v>761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9" t="str">
        <f>_xlfn.XLOOKUP(PROPERTIES[[#This Row],[COUNTRY]],COUNTRIES[COUNTRY_DESCRIPTION],COUNTRIES[COUNTRY_LABEL],"")</f>
        <v/>
      </c>
      <c r="G759" t="str" cm="1">
        <f t="array" ref="G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9" t="s">
        <v>665</v>
      </c>
      <c r="I759">
        <v>100</v>
      </c>
      <c r="J759">
        <v>8</v>
      </c>
      <c r="K759">
        <v>8</v>
      </c>
      <c r="L759" t="str" cm="1">
        <f t="array" ref="L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9">
        <f>_xlfn.XLOOKUP("LOADINGSPEEDDEF_"&amp;PROPERTIES[[#This Row],[LOADINGSPEED]],LOADINGSPEEDDEF[TYPE],LOADINGSPEEDDEF[SPEED])</f>
        <v>15</v>
      </c>
      <c r="N759" cm="1">
        <f t="array" ref="N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9">
        <f>IF(ISNUMBER(SEARCH("passenger",PROPERTIES[[#This Row],[CARGODEF]])),1,0)</f>
        <v>0</v>
      </c>
      <c r="P759" s="29">
        <v>38</v>
      </c>
      <c r="Q759">
        <v>0</v>
      </c>
      <c r="R759">
        <v>110</v>
      </c>
      <c r="S759" s="26">
        <v>0</v>
      </c>
      <c r="T759" s="25">
        <f>IFERROR(PROPERTIES[[#This Row],[TE_STARTING_KN]]/(PROPERTIES[[#This Row],[WEIGHT]]*9.81),0)</f>
        <v>0</v>
      </c>
      <c r="U759" s="25">
        <v>0.3</v>
      </c>
      <c r="V759" s="22">
        <f>ROUND(IF(IFERROR(PROPERTIES[[#This Row],[TE_COEFFICIENT_CALC]],0)=0,PROPERTIES[[#This Row],[TE_COEFFICIENT_MANUAL]],PROPERTIES[[#This Row],[TE_COEFFICIENT_CALC]]),3)</f>
        <v>0.3</v>
      </c>
      <c r="W759" s="10" cm="1">
        <f t="array" ref="W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9" s="32">
        <v>0</v>
      </c>
      <c r="Y759" s="8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8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9" t="b">
        <v>0</v>
      </c>
      <c r="AY759"/>
      <c r="AZ759"/>
      <c r="BA759"/>
    </row>
    <row r="760" spans="1:53">
      <c r="A760" s="2" t="s">
        <v>762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0" t="str">
        <f>_xlfn.XLOOKUP(PROPERTIES[[#This Row],[COUNTRY]],COUNTRIES[COUNTRY_DESCRIPTION],COUNTRIES[COUNTRY_LABEL],"")</f>
        <v/>
      </c>
      <c r="G760" t="str" cm="1">
        <f t="array" ref="G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0" t="s">
        <v>320</v>
      </c>
      <c r="I760">
        <v>66</v>
      </c>
      <c r="J760">
        <v>8</v>
      </c>
      <c r="K760">
        <v>8</v>
      </c>
      <c r="L760" t="str" cm="1">
        <f t="array" ref="L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0">
        <f>_xlfn.XLOOKUP("LOADINGSPEEDDEF_"&amp;PROPERTIES[[#This Row],[LOADINGSPEED]],LOADINGSPEEDDEF[TYPE],LOADINGSPEEDDEF[SPEED])</f>
        <v>16</v>
      </c>
      <c r="N760" cm="1">
        <f t="array" ref="N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0">
        <f>IF(ISNUMBER(SEARCH("passenger",PROPERTIES[[#This Row],[CARGODEF]])),1,0)</f>
        <v>1</v>
      </c>
      <c r="P760" s="29">
        <v>42</v>
      </c>
      <c r="Q760">
        <v>0</v>
      </c>
      <c r="R760">
        <v>200</v>
      </c>
      <c r="S760" s="26">
        <v>0</v>
      </c>
      <c r="T760" s="25">
        <f>IFERROR(PROPERTIES[[#This Row],[TE_STARTING_KN]]/(PROPERTIES[[#This Row],[WEIGHT]]*9.81),0)</f>
        <v>0</v>
      </c>
      <c r="U760" s="25">
        <v>0.3</v>
      </c>
      <c r="V760" s="22">
        <f>ROUND(IF(IFERROR(PROPERTIES[[#This Row],[TE_COEFFICIENT_CALC]],0)=0,PROPERTIES[[#This Row],[TE_COEFFICIENT_MANUAL]],PROPERTIES[[#This Row],[TE_COEFFICIENT_CALC]]),3)</f>
        <v>0.3</v>
      </c>
      <c r="W760" s="10" cm="1">
        <f t="array" ref="W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0" s="32">
        <v>0</v>
      </c>
      <c r="Y760" s="8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8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9" t="b">
        <v>0</v>
      </c>
      <c r="AY760"/>
      <c r="AZ760"/>
      <c r="BA760"/>
    </row>
    <row r="761" spans="1:53">
      <c r="A761" s="2" t="s">
        <v>763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1" t="str">
        <f>_xlfn.XLOOKUP(PROPERTIES[[#This Row],[COUNTRY]],COUNTRIES[COUNTRY_DESCRIPTION],COUNTRIES[COUNTRY_LABEL],"")</f>
        <v/>
      </c>
      <c r="G761" t="str" cm="1">
        <f t="array" ref="G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1" t="s">
        <v>320</v>
      </c>
      <c r="I761">
        <v>78</v>
      </c>
      <c r="J761">
        <v>8</v>
      </c>
      <c r="K761">
        <v>8</v>
      </c>
      <c r="L761" t="str" cm="1">
        <f t="array" ref="L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1">
        <f>_xlfn.XLOOKUP("LOADINGSPEEDDEF_"&amp;PROPERTIES[[#This Row],[LOADINGSPEED]],LOADINGSPEEDDEF[TYPE],LOADINGSPEEDDEF[SPEED])</f>
        <v>16</v>
      </c>
      <c r="N761" cm="1">
        <f t="array" ref="N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1">
        <f>IF(ISNUMBER(SEARCH("passenger",PROPERTIES[[#This Row],[CARGODEF]])),1,0)</f>
        <v>1</v>
      </c>
      <c r="P761" s="29">
        <v>40</v>
      </c>
      <c r="Q761">
        <v>0</v>
      </c>
      <c r="R761">
        <v>200</v>
      </c>
      <c r="S761" s="26">
        <v>0</v>
      </c>
      <c r="T761" s="25">
        <f>IFERROR(PROPERTIES[[#This Row],[TE_STARTING_KN]]/(PROPERTIES[[#This Row],[WEIGHT]]*9.81),0)</f>
        <v>0</v>
      </c>
      <c r="U761" s="25">
        <v>0.3</v>
      </c>
      <c r="V761" s="22">
        <f>ROUND(IF(IFERROR(PROPERTIES[[#This Row],[TE_COEFFICIENT_CALC]],0)=0,PROPERTIES[[#This Row],[TE_COEFFICIENT_MANUAL]],PROPERTIES[[#This Row],[TE_COEFFICIENT_CALC]]),3)</f>
        <v>0.3</v>
      </c>
      <c r="W761" s="10" cm="1">
        <f t="array" ref="W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1" s="32">
        <v>0</v>
      </c>
      <c r="Y761" s="8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8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9" t="b">
        <v>0</v>
      </c>
      <c r="AY761"/>
      <c r="AZ761"/>
      <c r="BA761"/>
    </row>
    <row r="762" spans="1:53">
      <c r="A762" s="2" t="s">
        <v>764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2" t="str">
        <f>_xlfn.XLOOKUP(PROPERTIES[[#This Row],[COUNTRY]],COUNTRIES[COUNTRY_DESCRIPTION],COUNTRIES[COUNTRY_LABEL],"")</f>
        <v/>
      </c>
      <c r="G762" t="str" cm="1">
        <f t="array" ref="G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2" t="s">
        <v>320</v>
      </c>
      <c r="I762">
        <v>190</v>
      </c>
      <c r="J762">
        <v>8</v>
      </c>
      <c r="K762">
        <v>8</v>
      </c>
      <c r="L762" t="str" cm="1">
        <f t="array" ref="L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2">
        <f>_xlfn.XLOOKUP("LOADINGSPEEDDEF_"&amp;PROPERTIES[[#This Row],[LOADINGSPEED]],LOADINGSPEEDDEF[TYPE],LOADINGSPEEDDEF[SPEED])</f>
        <v>40</v>
      </c>
      <c r="N762" cm="1">
        <f t="array" ref="N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2">
        <f>IF(ISNUMBER(SEARCH("passenger",PROPERTIES[[#This Row],[CARGODEF]])),1,0)</f>
        <v>1</v>
      </c>
      <c r="P762" s="29">
        <v>31</v>
      </c>
      <c r="Q762">
        <v>0</v>
      </c>
      <c r="R762">
        <v>140</v>
      </c>
      <c r="S762" s="26">
        <v>0</v>
      </c>
      <c r="T762" s="25">
        <f>IFERROR(PROPERTIES[[#This Row],[TE_STARTING_KN]]/(PROPERTIES[[#This Row],[WEIGHT]]*9.81),0)</f>
        <v>0</v>
      </c>
      <c r="U762" s="25">
        <v>0.3</v>
      </c>
      <c r="V762" s="22">
        <f>ROUND(IF(IFERROR(PROPERTIES[[#This Row],[TE_COEFFICIENT_CALC]],0)=0,PROPERTIES[[#This Row],[TE_COEFFICIENT_MANUAL]],PROPERTIES[[#This Row],[TE_COEFFICIENT_CALC]]),3)</f>
        <v>0.3</v>
      </c>
      <c r="W762" s="10" cm="1">
        <f t="array" ref="W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2" s="32">
        <v>0</v>
      </c>
      <c r="Y762" s="8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8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9" t="b">
        <v>0</v>
      </c>
      <c r="AY762"/>
      <c r="AZ762"/>
      <c r="BA762"/>
    </row>
    <row r="763" spans="1:53">
      <c r="A763" s="2" t="s">
        <v>765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3" t="str">
        <f>_xlfn.XLOOKUP(PROPERTIES[[#This Row],[COUNTRY]],COUNTRIES[COUNTRY_DESCRIPTION],COUNTRIES[COUNTRY_LABEL],"")</f>
        <v/>
      </c>
      <c r="G763" t="str" cm="1">
        <f t="array" ref="G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3" t="s">
        <v>665</v>
      </c>
      <c r="I763">
        <v>130</v>
      </c>
      <c r="J763">
        <v>8</v>
      </c>
      <c r="K763">
        <v>8</v>
      </c>
      <c r="L763" t="str" cm="1">
        <f t="array" ref="L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3">
        <f>_xlfn.XLOOKUP("LOADINGSPEEDDEF_"&amp;PROPERTIES[[#This Row],[LOADINGSPEED]],LOADINGSPEEDDEF[TYPE],LOADINGSPEEDDEF[SPEED])</f>
        <v>15</v>
      </c>
      <c r="N763" cm="1">
        <f t="array" ref="N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3">
        <f>IF(ISNUMBER(SEARCH("passenger",PROPERTIES[[#This Row],[CARGODEF]])),1,0)</f>
        <v>0</v>
      </c>
      <c r="P763" s="29">
        <v>40</v>
      </c>
      <c r="Q763">
        <v>0</v>
      </c>
      <c r="R763">
        <v>200</v>
      </c>
      <c r="S763" s="26">
        <v>0</v>
      </c>
      <c r="T763" s="25">
        <f>IFERROR(PROPERTIES[[#This Row],[TE_STARTING_KN]]/(PROPERTIES[[#This Row],[WEIGHT]]*9.81),0)</f>
        <v>0</v>
      </c>
      <c r="U763" s="25">
        <v>0.3</v>
      </c>
      <c r="V763" s="22">
        <f>ROUND(IF(IFERROR(PROPERTIES[[#This Row],[TE_COEFFICIENT_CALC]],0)=0,PROPERTIES[[#This Row],[TE_COEFFICIENT_MANUAL]],PROPERTIES[[#This Row],[TE_COEFFICIENT_CALC]]),3)</f>
        <v>0.3</v>
      </c>
      <c r="W763" s="10" cm="1">
        <f t="array" ref="W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3" s="32">
        <v>0</v>
      </c>
      <c r="Y763" s="8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8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9" t="b">
        <v>0</v>
      </c>
      <c r="AY763"/>
      <c r="AZ763"/>
      <c r="BA763"/>
    </row>
    <row r="764" spans="1:53">
      <c r="A764" s="2" t="s">
        <v>766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4" t="str">
        <f>_xlfn.XLOOKUP(PROPERTIES[[#This Row],[COUNTRY]],COUNTRIES[COUNTRY_DESCRIPTION],COUNTRIES[COUNTRY_LABEL],"")</f>
        <v/>
      </c>
      <c r="G764" t="str" cm="1">
        <f t="array" ref="G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4" t="s">
        <v>320</v>
      </c>
      <c r="I764">
        <v>170</v>
      </c>
      <c r="J764">
        <v>8</v>
      </c>
      <c r="K764">
        <v>8</v>
      </c>
      <c r="L764" t="str" cm="1">
        <f t="array" ref="L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4">
        <f>_xlfn.XLOOKUP("LOADINGSPEEDDEF_"&amp;PROPERTIES[[#This Row],[LOADINGSPEED]],LOADINGSPEEDDEF[TYPE],LOADINGSPEEDDEF[SPEED])</f>
        <v>40</v>
      </c>
      <c r="N764" cm="1">
        <f t="array" ref="N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4">
        <f>IF(ISNUMBER(SEARCH("passenger",PROPERTIES[[#This Row],[CARGODEF]])),1,0)</f>
        <v>1</v>
      </c>
      <c r="P764" s="29">
        <v>50</v>
      </c>
      <c r="Q764">
        <v>0</v>
      </c>
      <c r="R764">
        <v>140</v>
      </c>
      <c r="S764" s="26">
        <v>0</v>
      </c>
      <c r="T764" s="25">
        <f>IFERROR(PROPERTIES[[#This Row],[TE_STARTING_KN]]/(PROPERTIES[[#This Row],[WEIGHT]]*9.81),0)</f>
        <v>0</v>
      </c>
      <c r="U764" s="25">
        <v>0.3</v>
      </c>
      <c r="V764" s="22">
        <f>ROUND(IF(IFERROR(PROPERTIES[[#This Row],[TE_COEFFICIENT_CALC]],0)=0,PROPERTIES[[#This Row],[TE_COEFFICIENT_MANUAL]],PROPERTIES[[#This Row],[TE_COEFFICIENT_CALC]]),3)</f>
        <v>0.3</v>
      </c>
      <c r="W764" s="10" cm="1">
        <f t="array" ref="W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4" s="32">
        <v>0</v>
      </c>
      <c r="Y764" s="8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8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9" t="b">
        <v>0</v>
      </c>
      <c r="AY764"/>
      <c r="AZ764"/>
      <c r="BA764"/>
    </row>
    <row r="765" spans="1:53">
      <c r="A765" s="2" t="s">
        <v>767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5" t="str">
        <f>_xlfn.XLOOKUP(PROPERTIES[[#This Row],[COUNTRY]],COUNTRIES[COUNTRY_DESCRIPTION],COUNTRIES[COUNTRY_LABEL],"")</f>
        <v/>
      </c>
      <c r="G765" t="str" cm="1">
        <f t="array" ref="G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5" t="s">
        <v>320</v>
      </c>
      <c r="I765">
        <v>54</v>
      </c>
      <c r="J765">
        <v>8</v>
      </c>
      <c r="K765">
        <v>8</v>
      </c>
      <c r="L765" t="str" cm="1">
        <f t="array" ref="L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5">
        <f>_xlfn.XLOOKUP("LOADINGSPEEDDEF_"&amp;PROPERTIES[[#This Row],[LOADINGSPEED]],LOADINGSPEEDDEF[TYPE],LOADINGSPEEDDEF[SPEED])</f>
        <v>40</v>
      </c>
      <c r="N765" cm="1">
        <f t="array" ref="N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5">
        <f>IF(ISNUMBER(SEARCH("passenger",PROPERTIES[[#This Row],[CARGODEF]])),1,0)</f>
        <v>1</v>
      </c>
      <c r="P765" s="29">
        <v>58</v>
      </c>
      <c r="Q765">
        <v>0</v>
      </c>
      <c r="R765">
        <v>120</v>
      </c>
      <c r="S765" s="26">
        <v>0</v>
      </c>
      <c r="T765" s="25">
        <f>IFERROR(PROPERTIES[[#This Row],[TE_STARTING_KN]]/(PROPERTIES[[#This Row],[WEIGHT]]*9.81),0)</f>
        <v>0</v>
      </c>
      <c r="U765" s="25">
        <v>0.3</v>
      </c>
      <c r="V765" s="22">
        <f>ROUND(IF(IFERROR(PROPERTIES[[#This Row],[TE_COEFFICIENT_CALC]],0)=0,PROPERTIES[[#This Row],[TE_COEFFICIENT_MANUAL]],PROPERTIES[[#This Row],[TE_COEFFICIENT_CALC]]),3)</f>
        <v>0.3</v>
      </c>
      <c r="W765" s="10" cm="1">
        <f t="array" ref="W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5" s="32">
        <v>0</v>
      </c>
      <c r="Y765" s="8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8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9" t="b">
        <v>0</v>
      </c>
      <c r="AY765"/>
      <c r="AZ765"/>
      <c r="BA765"/>
    </row>
    <row r="766" spans="1:53">
      <c r="A766" s="2" t="s">
        <v>768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6" t="str">
        <f>_xlfn.XLOOKUP(PROPERTIES[[#This Row],[COUNTRY]],COUNTRIES[COUNTRY_DESCRIPTION],COUNTRIES[COUNTRY_LABEL],"")</f>
        <v/>
      </c>
      <c r="G766" t="str" cm="1">
        <f t="array" ref="G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6" t="s">
        <v>320</v>
      </c>
      <c r="I766">
        <v>220</v>
      </c>
      <c r="J766">
        <v>8</v>
      </c>
      <c r="K766">
        <v>8</v>
      </c>
      <c r="L766" t="str" cm="1">
        <f t="array" ref="L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6">
        <f>_xlfn.XLOOKUP("LOADINGSPEEDDEF_"&amp;PROPERTIES[[#This Row],[LOADINGSPEED]],LOADINGSPEEDDEF[TYPE],LOADINGSPEEDDEF[SPEED])</f>
        <v>40</v>
      </c>
      <c r="N766" cm="1">
        <f t="array" ref="N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6">
        <f>IF(ISNUMBER(SEARCH("passenger",PROPERTIES[[#This Row],[CARGODEF]])),1,0)</f>
        <v>1</v>
      </c>
      <c r="P766" s="29">
        <v>45</v>
      </c>
      <c r="Q766">
        <v>0</v>
      </c>
      <c r="R766">
        <v>130</v>
      </c>
      <c r="S766" s="26">
        <v>0</v>
      </c>
      <c r="T766" s="25">
        <f>IFERROR(PROPERTIES[[#This Row],[TE_STARTING_KN]]/(PROPERTIES[[#This Row],[WEIGHT]]*9.81),0)</f>
        <v>0</v>
      </c>
      <c r="U766" s="25">
        <v>0.3</v>
      </c>
      <c r="V766" s="22">
        <f>ROUND(IF(IFERROR(PROPERTIES[[#This Row],[TE_COEFFICIENT_CALC]],0)=0,PROPERTIES[[#This Row],[TE_COEFFICIENT_MANUAL]],PROPERTIES[[#This Row],[TE_COEFFICIENT_CALC]]),3)</f>
        <v>0.3</v>
      </c>
      <c r="W766" s="10" cm="1">
        <f t="array" ref="W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6" s="32">
        <v>0</v>
      </c>
      <c r="Y766" s="8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8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9" t="b">
        <v>0</v>
      </c>
      <c r="AY766"/>
      <c r="AZ766"/>
      <c r="BA766"/>
    </row>
    <row r="767" spans="1:53">
      <c r="A767" s="2" t="s">
        <v>769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7" t="str">
        <f>_xlfn.XLOOKUP(PROPERTIES[[#This Row],[COUNTRY]],COUNTRIES[COUNTRY_DESCRIPTION],COUNTRIES[COUNTRY_LABEL],"")</f>
        <v/>
      </c>
      <c r="G767" t="str" cm="1">
        <f t="array" ref="G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7" t="s">
        <v>665</v>
      </c>
      <c r="I767">
        <v>150</v>
      </c>
      <c r="J767">
        <v>8</v>
      </c>
      <c r="K767">
        <v>8</v>
      </c>
      <c r="L767" t="str" cm="1">
        <f t="array" ref="L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7">
        <f>_xlfn.XLOOKUP("LOADINGSPEEDDEF_"&amp;PROPERTIES[[#This Row],[LOADINGSPEED]],LOADINGSPEEDDEF[TYPE],LOADINGSPEEDDEF[SPEED])</f>
        <v>15</v>
      </c>
      <c r="N767" cm="1">
        <f t="array" ref="N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7">
        <f>IF(ISNUMBER(SEARCH("passenger",PROPERTIES[[#This Row],[CARGODEF]])),1,0)</f>
        <v>0</v>
      </c>
      <c r="P767" s="29">
        <v>52</v>
      </c>
      <c r="Q767">
        <v>0</v>
      </c>
      <c r="R767">
        <v>160</v>
      </c>
      <c r="S767" s="26">
        <v>0</v>
      </c>
      <c r="T767" s="25">
        <f>IFERROR(PROPERTIES[[#This Row],[TE_STARTING_KN]]/(PROPERTIES[[#This Row],[WEIGHT]]*9.81),0)</f>
        <v>0</v>
      </c>
      <c r="U767" s="25">
        <v>0.3</v>
      </c>
      <c r="V767" s="22">
        <f>ROUND(IF(IFERROR(PROPERTIES[[#This Row],[TE_COEFFICIENT_CALC]],0)=0,PROPERTIES[[#This Row],[TE_COEFFICIENT_MANUAL]],PROPERTIES[[#This Row],[TE_COEFFICIENT_CALC]]),3)</f>
        <v>0.3</v>
      </c>
      <c r="W767" s="10" cm="1">
        <f t="array" ref="W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7" s="32">
        <v>0</v>
      </c>
      <c r="Y767" s="8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8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9" t="b">
        <v>0</v>
      </c>
      <c r="AY767"/>
      <c r="AZ767"/>
      <c r="BA767"/>
    </row>
    <row r="768" spans="1:53">
      <c r="A768" s="2" t="s">
        <v>770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8" t="str">
        <f>_xlfn.XLOOKUP(PROPERTIES[[#This Row],[COUNTRY]],COUNTRIES[COUNTRY_DESCRIPTION],COUNTRIES[COUNTRY_LABEL],"")</f>
        <v/>
      </c>
      <c r="G768" t="str" cm="1">
        <f t="array" ref="G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8" t="s">
        <v>320</v>
      </c>
      <c r="I768">
        <v>78</v>
      </c>
      <c r="J768">
        <v>8</v>
      </c>
      <c r="K768">
        <v>8</v>
      </c>
      <c r="L768" t="str" cm="1">
        <f t="array" ref="L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8">
        <f>_xlfn.XLOOKUP("LOADINGSPEEDDEF_"&amp;PROPERTIES[[#This Row],[LOADINGSPEED]],LOADINGSPEEDDEF[TYPE],LOADINGSPEEDDEF[SPEED])</f>
        <v>40</v>
      </c>
      <c r="N768" cm="1">
        <f t="array" ref="N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8">
        <f>IF(ISNUMBER(SEARCH("passenger",PROPERTIES[[#This Row],[CARGODEF]])),1,0)</f>
        <v>1</v>
      </c>
      <c r="P768" s="29">
        <v>71</v>
      </c>
      <c r="Q768">
        <v>0</v>
      </c>
      <c r="R768">
        <v>160</v>
      </c>
      <c r="S768" s="26">
        <v>0</v>
      </c>
      <c r="T768" s="25">
        <f>IFERROR(PROPERTIES[[#This Row],[TE_STARTING_KN]]/(PROPERTIES[[#This Row],[WEIGHT]]*9.81),0)</f>
        <v>0</v>
      </c>
      <c r="U768" s="25">
        <v>0.3</v>
      </c>
      <c r="V768" s="22">
        <f>ROUND(IF(IFERROR(PROPERTIES[[#This Row],[TE_COEFFICIENT_CALC]],0)=0,PROPERTIES[[#This Row],[TE_COEFFICIENT_MANUAL]],PROPERTIES[[#This Row],[TE_COEFFICIENT_CALC]]),3)</f>
        <v>0.3</v>
      </c>
      <c r="W768" s="10" cm="1">
        <f t="array" ref="W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8" s="32">
        <v>0</v>
      </c>
      <c r="Y768" s="8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8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9" t="b">
        <v>0</v>
      </c>
      <c r="AY768"/>
      <c r="AZ768"/>
      <c r="BA768"/>
    </row>
    <row r="769" spans="1:53">
      <c r="A769" s="2" t="s">
        <v>771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9" t="str">
        <f>_xlfn.XLOOKUP(PROPERTIES[[#This Row],[COUNTRY]],COUNTRIES[COUNTRY_DESCRIPTION],COUNTRIES[COUNTRY_LABEL],"")</f>
        <v/>
      </c>
      <c r="G769" t="str" cm="1">
        <f t="array" ref="G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9" t="s">
        <v>320</v>
      </c>
      <c r="I769">
        <v>94</v>
      </c>
      <c r="J769">
        <v>8</v>
      </c>
      <c r="K769">
        <v>8</v>
      </c>
      <c r="L769" t="str" cm="1">
        <f t="array" ref="L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9">
        <f>_xlfn.XLOOKUP("LOADINGSPEEDDEF_"&amp;PROPERTIES[[#This Row],[LOADINGSPEED]],LOADINGSPEEDDEF[TYPE],LOADINGSPEEDDEF[SPEED])</f>
        <v>40</v>
      </c>
      <c r="N769" t="str" cm="1">
        <f t="array" ref="N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69">
        <f>IF(ISNUMBER(SEARCH("passenger",PROPERTIES[[#This Row],[CARGODEF]])),1,0)</f>
        <v>1</v>
      </c>
      <c r="P769" s="29">
        <v>68</v>
      </c>
      <c r="Q769">
        <v>0</v>
      </c>
      <c r="R769">
        <v>160</v>
      </c>
      <c r="S769" s="26">
        <v>0</v>
      </c>
      <c r="T769" s="25">
        <f>IFERROR(PROPERTIES[[#This Row],[TE_STARTING_KN]]/(PROPERTIES[[#This Row],[WEIGHT]]*9.81),0)</f>
        <v>0</v>
      </c>
      <c r="U769" s="25">
        <v>0.3</v>
      </c>
      <c r="V769" s="22">
        <f>ROUND(IF(IFERROR(PROPERTIES[[#This Row],[TE_COEFFICIENT_CALC]],0)=0,PROPERTIES[[#This Row],[TE_COEFFICIENT_MANUAL]],PROPERTIES[[#This Row],[TE_COEFFICIENT_CALC]]),3)</f>
        <v>0.3</v>
      </c>
      <c r="W769" s="10" cm="1">
        <f t="array" ref="W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9" s="32">
        <v>0</v>
      </c>
      <c r="Y769" s="8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8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9" t="b">
        <v>0</v>
      </c>
      <c r="AY769"/>
      <c r="AZ769"/>
      <c r="BA769"/>
    </row>
    <row r="770" spans="1:53">
      <c r="A770" s="2" t="s">
        <v>772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0" t="str">
        <f>_xlfn.XLOOKUP(PROPERTIES[[#This Row],[COUNTRY]],COUNTRIES[COUNTRY_DESCRIPTION],COUNTRIES[COUNTRY_LABEL],"")</f>
        <v/>
      </c>
      <c r="G770" t="str" cm="1">
        <f t="array" ref="G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0" t="s">
        <v>320</v>
      </c>
      <c r="I770">
        <v>84</v>
      </c>
      <c r="J770">
        <v>8</v>
      </c>
      <c r="K770">
        <v>8</v>
      </c>
      <c r="L770" t="str" cm="1">
        <f t="array" ref="L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0">
        <f>_xlfn.XLOOKUP("LOADINGSPEEDDEF_"&amp;PROPERTIES[[#This Row],[LOADINGSPEED]],LOADINGSPEEDDEF[TYPE],LOADINGSPEEDDEF[SPEED])</f>
        <v>16</v>
      </c>
      <c r="N770" cm="1">
        <f t="array" ref="N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0">
        <f>IF(ISNUMBER(SEARCH("passenger",PROPERTIES[[#This Row],[CARGODEF]])),1,0)</f>
        <v>1</v>
      </c>
      <c r="P770" s="29">
        <v>48</v>
      </c>
      <c r="Q770">
        <v>0</v>
      </c>
      <c r="R770">
        <v>200</v>
      </c>
      <c r="S770" s="26">
        <v>0</v>
      </c>
      <c r="T770" s="25">
        <f>IFERROR(PROPERTIES[[#This Row],[TE_STARTING_KN]]/(PROPERTIES[[#This Row],[WEIGHT]]*9.81),0)</f>
        <v>0</v>
      </c>
      <c r="U770" s="25">
        <v>0.3</v>
      </c>
      <c r="V770" s="22">
        <f>ROUND(IF(IFERROR(PROPERTIES[[#This Row],[TE_COEFFICIENT_CALC]],0)=0,PROPERTIES[[#This Row],[TE_COEFFICIENT_MANUAL]],PROPERTIES[[#This Row],[TE_COEFFICIENT_CALC]]),3)</f>
        <v>0.3</v>
      </c>
      <c r="W770" s="10" cm="1">
        <f t="array" ref="W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0" s="32">
        <v>0</v>
      </c>
      <c r="Y770" s="8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8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9" t="b">
        <v>0</v>
      </c>
      <c r="AY770"/>
      <c r="AZ770"/>
      <c r="BA770"/>
    </row>
    <row r="771" spans="1:53">
      <c r="A771" s="2" t="s">
        <v>773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1" t="str">
        <f>_xlfn.XLOOKUP(PROPERTIES[[#This Row],[COUNTRY]],COUNTRIES[COUNTRY_DESCRIPTION],COUNTRIES[COUNTRY_LABEL],"")</f>
        <v/>
      </c>
      <c r="G771" t="str" cm="1">
        <f t="array" ref="G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1" t="s">
        <v>320</v>
      </c>
      <c r="I771">
        <v>62</v>
      </c>
      <c r="J771">
        <v>8</v>
      </c>
      <c r="K771">
        <v>8</v>
      </c>
      <c r="L771" t="str" cm="1">
        <f t="array" ref="L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1">
        <f>_xlfn.XLOOKUP("LOADINGSPEEDDEF_"&amp;PROPERTIES[[#This Row],[LOADINGSPEED]],LOADINGSPEEDDEF[TYPE],LOADINGSPEEDDEF[SPEED])</f>
        <v>16</v>
      </c>
      <c r="N771" cm="1">
        <f t="array" ref="N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1">
        <f>IF(ISNUMBER(SEARCH("passenger",PROPERTIES[[#This Row],[CARGODEF]])),1,0)</f>
        <v>1</v>
      </c>
      <c r="P771" s="29">
        <v>49</v>
      </c>
      <c r="Q771">
        <v>0</v>
      </c>
      <c r="R771">
        <v>200</v>
      </c>
      <c r="S771" s="26">
        <v>0</v>
      </c>
      <c r="T771" s="25">
        <f>IFERROR(PROPERTIES[[#This Row],[TE_STARTING_KN]]/(PROPERTIES[[#This Row],[WEIGHT]]*9.81),0)</f>
        <v>0</v>
      </c>
      <c r="U771" s="25">
        <v>0.3</v>
      </c>
      <c r="V771" s="22">
        <f>ROUND(IF(IFERROR(PROPERTIES[[#This Row],[TE_COEFFICIENT_CALC]],0)=0,PROPERTIES[[#This Row],[TE_COEFFICIENT_MANUAL]],PROPERTIES[[#This Row],[TE_COEFFICIENT_CALC]]),3)</f>
        <v>0.3</v>
      </c>
      <c r="W771" s="10" cm="1">
        <f t="array" ref="W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1" s="32">
        <v>0</v>
      </c>
      <c r="Y771" s="8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8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9" t="b">
        <v>0</v>
      </c>
      <c r="AY771"/>
      <c r="AZ771"/>
      <c r="BA771"/>
    </row>
    <row r="772" spans="1:53">
      <c r="A772" s="2" t="s">
        <v>774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2" t="str">
        <f>_xlfn.XLOOKUP(PROPERTIES[[#This Row],[COUNTRY]],COUNTRIES[COUNTRY_DESCRIPTION],COUNTRIES[COUNTRY_LABEL],"")</f>
        <v/>
      </c>
      <c r="G772" t="str" cm="1">
        <f t="array" ref="G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2" t="s">
        <v>320</v>
      </c>
      <c r="I772">
        <v>117</v>
      </c>
      <c r="J772">
        <v>8</v>
      </c>
      <c r="K772">
        <v>8</v>
      </c>
      <c r="L772" t="str" cm="1">
        <f t="array" ref="L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2">
        <f>_xlfn.XLOOKUP("LOADINGSPEEDDEF_"&amp;PROPERTIES[[#This Row],[LOADINGSPEED]],LOADINGSPEEDDEF[TYPE],LOADINGSPEEDDEF[SPEED])</f>
        <v>40</v>
      </c>
      <c r="N772" cm="1">
        <f t="array" ref="N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2">
        <f>IF(ISNUMBER(SEARCH("passenger",PROPERTIES[[#This Row],[CARGODEF]])),1,0)</f>
        <v>1</v>
      </c>
      <c r="P772" s="29">
        <v>42</v>
      </c>
      <c r="Q772">
        <v>0</v>
      </c>
      <c r="R772">
        <v>160</v>
      </c>
      <c r="S772" s="26">
        <v>0</v>
      </c>
      <c r="T772" s="25">
        <f>IFERROR(PROPERTIES[[#This Row],[TE_STARTING_KN]]/(PROPERTIES[[#This Row],[WEIGHT]]*9.81),0)</f>
        <v>0</v>
      </c>
      <c r="U772" s="25">
        <v>0.3</v>
      </c>
      <c r="V772" s="22">
        <f>ROUND(IF(IFERROR(PROPERTIES[[#This Row],[TE_COEFFICIENT_CALC]],0)=0,PROPERTIES[[#This Row],[TE_COEFFICIENT_MANUAL]],PROPERTIES[[#This Row],[TE_COEFFICIENT_CALC]]),3)</f>
        <v>0.3</v>
      </c>
      <c r="W772" s="10" cm="1">
        <f t="array" ref="W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2" s="32">
        <v>0</v>
      </c>
      <c r="Y772" s="8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8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9" t="b">
        <v>0</v>
      </c>
      <c r="AY772"/>
      <c r="AZ772"/>
      <c r="BA772"/>
    </row>
    <row r="773" spans="1:53">
      <c r="A773" s="2" t="s">
        <v>775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3" t="str">
        <f>_xlfn.XLOOKUP(PROPERTIES[[#This Row],[COUNTRY]],COUNTRIES[COUNTRY_DESCRIPTION],COUNTRIES[COUNTRY_LABEL],"")</f>
        <v/>
      </c>
      <c r="G773" t="str" cm="1">
        <f t="array" ref="G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3" t="s">
        <v>320</v>
      </c>
      <c r="I773">
        <v>72</v>
      </c>
      <c r="J773">
        <v>8</v>
      </c>
      <c r="K773">
        <v>8</v>
      </c>
      <c r="L773" t="str" cm="1">
        <f t="array" ref="L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3">
        <f>_xlfn.XLOOKUP("LOADINGSPEEDDEF_"&amp;PROPERTIES[[#This Row],[LOADINGSPEED]],LOADINGSPEEDDEF[TYPE],LOADINGSPEEDDEF[SPEED])</f>
        <v>16</v>
      </c>
      <c r="N773" cm="1">
        <f t="array" ref="N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3">
        <f>IF(ISNUMBER(SEARCH("passenger",PROPERTIES[[#This Row],[CARGODEF]])),1,0)</f>
        <v>1</v>
      </c>
      <c r="P773" s="29">
        <v>43</v>
      </c>
      <c r="Q773">
        <v>0</v>
      </c>
      <c r="R773">
        <v>200</v>
      </c>
      <c r="S773" s="26">
        <v>0</v>
      </c>
      <c r="T773" s="25">
        <f>IFERROR(PROPERTIES[[#This Row],[TE_STARTING_KN]]/(PROPERTIES[[#This Row],[WEIGHT]]*9.81),0)</f>
        <v>0</v>
      </c>
      <c r="U773" s="25">
        <v>0.3</v>
      </c>
      <c r="V773" s="22">
        <f>ROUND(IF(IFERROR(PROPERTIES[[#This Row],[TE_COEFFICIENT_CALC]],0)=0,PROPERTIES[[#This Row],[TE_COEFFICIENT_MANUAL]],PROPERTIES[[#This Row],[TE_COEFFICIENT_CALC]]),3)</f>
        <v>0.3</v>
      </c>
      <c r="W773" s="10" cm="1">
        <f t="array" ref="W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3" s="32">
        <v>0</v>
      </c>
      <c r="Y773" s="8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8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9" t="b">
        <v>0</v>
      </c>
      <c r="AY773"/>
      <c r="AZ773"/>
      <c r="BA773"/>
    </row>
    <row r="774" spans="1:53">
      <c r="A774" s="2" t="s">
        <v>776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4" t="str">
        <f>_xlfn.XLOOKUP(PROPERTIES[[#This Row],[COUNTRY]],COUNTRIES[COUNTRY_DESCRIPTION],COUNTRIES[COUNTRY_LABEL],"")</f>
        <v/>
      </c>
      <c r="G774" t="str" cm="1">
        <f t="array" ref="G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4" t="s">
        <v>665</v>
      </c>
      <c r="I774">
        <v>160</v>
      </c>
      <c r="J774">
        <v>8</v>
      </c>
      <c r="K774">
        <v>8</v>
      </c>
      <c r="L774" t="str" cm="1">
        <f t="array" ref="L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74">
        <f>_xlfn.XLOOKUP("LOADINGSPEEDDEF_"&amp;PROPERTIES[[#This Row],[LOADINGSPEED]],LOADINGSPEEDDEF[TYPE],LOADINGSPEEDDEF[SPEED])</f>
        <v>15</v>
      </c>
      <c r="N774" cm="1">
        <f t="array" ref="N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4">
        <f>IF(ISNUMBER(SEARCH("passenger",PROPERTIES[[#This Row],[CARGODEF]])),1,0)</f>
        <v>0</v>
      </c>
      <c r="P774" s="29">
        <v>42</v>
      </c>
      <c r="Q774">
        <v>0</v>
      </c>
      <c r="R774">
        <v>200</v>
      </c>
      <c r="S774" s="26">
        <v>0</v>
      </c>
      <c r="T774" s="25">
        <f>IFERROR(PROPERTIES[[#This Row],[TE_STARTING_KN]]/(PROPERTIES[[#This Row],[WEIGHT]]*9.81),0)</f>
        <v>0</v>
      </c>
      <c r="U774" s="25">
        <v>0.3</v>
      </c>
      <c r="V774" s="22">
        <f>ROUND(IF(IFERROR(PROPERTIES[[#This Row],[TE_COEFFICIENT_CALC]],0)=0,PROPERTIES[[#This Row],[TE_COEFFICIENT_MANUAL]],PROPERTIES[[#This Row],[TE_COEFFICIENT_CALC]]),3)</f>
        <v>0.3</v>
      </c>
      <c r="W774" s="10" cm="1">
        <f t="array" ref="W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4" s="32">
        <v>0</v>
      </c>
      <c r="Y774" s="8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8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9" t="b">
        <v>0</v>
      </c>
      <c r="AY774"/>
      <c r="AZ774"/>
      <c r="BA774"/>
    </row>
    <row r="775" spans="1:53">
      <c r="A775" s="2" t="s">
        <v>777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5" t="str">
        <f>_xlfn.XLOOKUP(PROPERTIES[[#This Row],[COUNTRY]],COUNTRIES[COUNTRY_DESCRIPTION],COUNTRIES[COUNTRY_LABEL],"")</f>
        <v/>
      </c>
      <c r="G775" t="str" cm="1">
        <f t="array" ref="G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5" t="s">
        <v>320</v>
      </c>
      <c r="I775">
        <v>255</v>
      </c>
      <c r="J775">
        <v>8</v>
      </c>
      <c r="K775">
        <v>8</v>
      </c>
      <c r="L775" t="str" cm="1">
        <f t="array" ref="L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5">
        <f>_xlfn.XLOOKUP("LOADINGSPEEDDEF_"&amp;PROPERTIES[[#This Row],[LOADINGSPEED]],LOADINGSPEEDDEF[TYPE],LOADINGSPEEDDEF[SPEED])</f>
        <v>40</v>
      </c>
      <c r="N775" cm="1">
        <f t="array" ref="N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5">
        <f>IF(ISNUMBER(SEARCH("passenger",PROPERTIES[[#This Row],[CARGODEF]])),1,0)</f>
        <v>1</v>
      </c>
      <c r="P775" s="29">
        <v>54</v>
      </c>
      <c r="Q775">
        <v>0</v>
      </c>
      <c r="R775">
        <v>160</v>
      </c>
      <c r="S775" s="26">
        <v>0</v>
      </c>
      <c r="T775" s="25">
        <f>IFERROR(PROPERTIES[[#This Row],[TE_STARTING_KN]]/(PROPERTIES[[#This Row],[WEIGHT]]*9.81),0)</f>
        <v>0</v>
      </c>
      <c r="U775" s="25">
        <v>0.3</v>
      </c>
      <c r="V775" s="22">
        <f>ROUND(IF(IFERROR(PROPERTIES[[#This Row],[TE_COEFFICIENT_CALC]],0)=0,PROPERTIES[[#This Row],[TE_COEFFICIENT_MANUAL]],PROPERTIES[[#This Row],[TE_COEFFICIENT_CALC]]),3)</f>
        <v>0.3</v>
      </c>
      <c r="W775" s="10" cm="1">
        <f t="array" ref="W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5" s="32">
        <v>0</v>
      </c>
      <c r="Y775" s="8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8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9" t="b">
        <v>0</v>
      </c>
      <c r="AY775"/>
      <c r="AZ775"/>
      <c r="BA775"/>
    </row>
    <row r="776" spans="1:53">
      <c r="A776" s="2" t="s">
        <v>778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6" t="str">
        <f>_xlfn.XLOOKUP(PROPERTIES[[#This Row],[COUNTRY]],COUNTRIES[COUNTRY_DESCRIPTION],COUNTRIES[COUNTRY_LABEL],"")</f>
        <v/>
      </c>
      <c r="G776" t="str" cm="1">
        <f t="array" ref="G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6" t="s">
        <v>320</v>
      </c>
      <c r="I776">
        <v>80</v>
      </c>
      <c r="J776">
        <v>8</v>
      </c>
      <c r="K776">
        <v>8</v>
      </c>
      <c r="L776" t="str" cm="1">
        <f t="array" ref="L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6">
        <f>_xlfn.XLOOKUP("LOADINGSPEEDDEF_"&amp;PROPERTIES[[#This Row],[LOADINGSPEED]],LOADINGSPEEDDEF[TYPE],LOADINGSPEEDDEF[SPEED])</f>
        <v>16</v>
      </c>
      <c r="N776" t="str" cm="1">
        <f t="array" ref="N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6">
        <f>IF(ISNUMBER(SEARCH("passenger",PROPERTIES[[#This Row],[CARGODEF]])),1,0)</f>
        <v>1</v>
      </c>
      <c r="P776" s="29">
        <v>52</v>
      </c>
      <c r="Q776">
        <v>0</v>
      </c>
      <c r="R776">
        <v>250</v>
      </c>
      <c r="S776" s="26">
        <v>0</v>
      </c>
      <c r="T776" s="25">
        <f>IFERROR(PROPERTIES[[#This Row],[TE_STARTING_KN]]/(PROPERTIES[[#This Row],[WEIGHT]]*9.81),0)</f>
        <v>0</v>
      </c>
      <c r="U776" s="25">
        <v>0.3</v>
      </c>
      <c r="V776" s="22">
        <f>ROUND(IF(IFERROR(PROPERTIES[[#This Row],[TE_COEFFICIENT_CALC]],0)=0,PROPERTIES[[#This Row],[TE_COEFFICIENT_MANUAL]],PROPERTIES[[#This Row],[TE_COEFFICIENT_CALC]]),3)</f>
        <v>0.3</v>
      </c>
      <c r="W776" s="10" cm="1">
        <f t="array" ref="W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6" s="32">
        <v>0</v>
      </c>
      <c r="Y776" s="8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8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9" t="b">
        <v>0</v>
      </c>
      <c r="AY776"/>
      <c r="AZ776"/>
      <c r="BA776"/>
    </row>
    <row r="777" spans="1:53">
      <c r="A777" s="2" t="s">
        <v>779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7" t="str">
        <f>_xlfn.XLOOKUP(PROPERTIES[[#This Row],[COUNTRY]],COUNTRIES[COUNTRY_DESCRIPTION],COUNTRIES[COUNTRY_LABEL],"")</f>
        <v/>
      </c>
      <c r="G777" t="str" cm="1">
        <f t="array" ref="G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7" t="s">
        <v>320</v>
      </c>
      <c r="I777">
        <v>160</v>
      </c>
      <c r="J777">
        <v>8</v>
      </c>
      <c r="K777">
        <v>8</v>
      </c>
      <c r="L777" t="str" cm="1">
        <f t="array" ref="L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7">
        <f>_xlfn.XLOOKUP("LOADINGSPEEDDEF_"&amp;PROPERTIES[[#This Row],[LOADINGSPEED]],LOADINGSPEEDDEF[TYPE],LOADINGSPEEDDEF[SPEED])</f>
        <v>16</v>
      </c>
      <c r="N777" t="str" cm="1">
        <f t="array" ref="N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7">
        <f>IF(ISNUMBER(SEARCH("passenger",PROPERTIES[[#This Row],[CARGODEF]])),1,0)</f>
        <v>1</v>
      </c>
      <c r="P777" s="29">
        <v>50</v>
      </c>
      <c r="Q777">
        <v>0</v>
      </c>
      <c r="R777">
        <v>200</v>
      </c>
      <c r="S777" s="26">
        <v>0</v>
      </c>
      <c r="T777" s="25">
        <f>IFERROR(PROPERTIES[[#This Row],[TE_STARTING_KN]]/(PROPERTIES[[#This Row],[WEIGHT]]*9.81),0)</f>
        <v>0</v>
      </c>
      <c r="U777" s="25">
        <v>0.3</v>
      </c>
      <c r="V777" s="22">
        <f>ROUND(IF(IFERROR(PROPERTIES[[#This Row],[TE_COEFFICIENT_CALC]],0)=0,PROPERTIES[[#This Row],[TE_COEFFICIENT_MANUAL]],PROPERTIES[[#This Row],[TE_COEFFICIENT_CALC]]),3)</f>
        <v>0.3</v>
      </c>
      <c r="W777" s="10" cm="1">
        <f t="array" ref="W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7" s="32">
        <v>0</v>
      </c>
      <c r="Y777" s="8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8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9" t="b">
        <v>0</v>
      </c>
      <c r="AY777"/>
      <c r="AZ777"/>
      <c r="BA777"/>
    </row>
    <row r="778" spans="1:53">
      <c r="A778" s="2" t="s">
        <v>780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8" t="str">
        <f>_xlfn.XLOOKUP(PROPERTIES[[#This Row],[COUNTRY]],COUNTRIES[COUNTRY_DESCRIPTION],COUNTRIES[COUNTRY_LABEL],"")</f>
        <v/>
      </c>
      <c r="G778" t="str" cm="1">
        <f t="array" ref="G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8" t="s">
        <v>320</v>
      </c>
      <c r="I778">
        <v>220</v>
      </c>
      <c r="J778">
        <v>8</v>
      </c>
      <c r="K778">
        <v>8</v>
      </c>
      <c r="L778" t="str" cm="1">
        <f t="array" ref="L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8">
        <f>_xlfn.XLOOKUP("LOADINGSPEEDDEF_"&amp;PROPERTIES[[#This Row],[LOADINGSPEED]],LOADINGSPEEDDEF[TYPE],LOADINGSPEEDDEF[SPEED])</f>
        <v>16</v>
      </c>
      <c r="N778" t="str" cm="1">
        <f t="array" ref="N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8">
        <f>IF(ISNUMBER(SEARCH("passenger",PROPERTIES[[#This Row],[CARGODEF]])),1,0)</f>
        <v>1</v>
      </c>
      <c r="P778" s="29">
        <v>48</v>
      </c>
      <c r="Q778">
        <v>0</v>
      </c>
      <c r="R778">
        <v>200</v>
      </c>
      <c r="S778" s="26">
        <v>0</v>
      </c>
      <c r="T778" s="25">
        <f>IFERROR(PROPERTIES[[#This Row],[TE_STARTING_KN]]/(PROPERTIES[[#This Row],[WEIGHT]]*9.81),0)</f>
        <v>0</v>
      </c>
      <c r="U778" s="25">
        <v>0.3</v>
      </c>
      <c r="V778" s="22">
        <f>ROUND(IF(IFERROR(PROPERTIES[[#This Row],[TE_COEFFICIENT_CALC]],0)=0,PROPERTIES[[#This Row],[TE_COEFFICIENT_MANUAL]],PROPERTIES[[#This Row],[TE_COEFFICIENT_CALC]]),3)</f>
        <v>0.3</v>
      </c>
      <c r="W778" s="10" cm="1">
        <f t="array" ref="W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8" s="32">
        <v>0</v>
      </c>
      <c r="Y778" s="8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8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9" t="b">
        <v>0</v>
      </c>
      <c r="AY778"/>
      <c r="AZ778"/>
      <c r="BA778"/>
    </row>
    <row r="779" spans="1:53">
      <c r="A779" s="2" t="s">
        <v>781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9" t="str">
        <f>_xlfn.XLOOKUP(PROPERTIES[[#This Row],[COUNTRY]],COUNTRIES[COUNTRY_DESCRIPTION],COUNTRIES[COUNTRY_LABEL],"")</f>
        <v/>
      </c>
      <c r="G779" t="str" cm="1">
        <f t="array" ref="G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9" t="s">
        <v>320</v>
      </c>
      <c r="I779">
        <v>255</v>
      </c>
      <c r="J779">
        <v>8</v>
      </c>
      <c r="K779">
        <v>8</v>
      </c>
      <c r="L779" t="str" cm="1">
        <f t="array" ref="L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9">
        <f>_xlfn.XLOOKUP("LOADINGSPEEDDEF_"&amp;PROPERTIES[[#This Row],[LOADINGSPEED]],LOADINGSPEEDDEF[TYPE],LOADINGSPEEDDEF[SPEED])</f>
        <v>40</v>
      </c>
      <c r="N779" t="str" cm="1">
        <f t="array" ref="N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9">
        <f>IF(ISNUMBER(SEARCH("passenger",PROPERTIES[[#This Row],[CARGODEF]])),1,0)</f>
        <v>1</v>
      </c>
      <c r="P779" s="29">
        <v>55</v>
      </c>
      <c r="Q779">
        <v>0</v>
      </c>
      <c r="R779">
        <v>160</v>
      </c>
      <c r="S779" s="26">
        <v>0</v>
      </c>
      <c r="T779" s="25">
        <f>IFERROR(PROPERTIES[[#This Row],[TE_STARTING_KN]]/(PROPERTIES[[#This Row],[WEIGHT]]*9.81),0)</f>
        <v>0</v>
      </c>
      <c r="U779" s="25">
        <v>0.3</v>
      </c>
      <c r="V779" s="22">
        <f>ROUND(IF(IFERROR(PROPERTIES[[#This Row],[TE_COEFFICIENT_CALC]],0)=0,PROPERTIES[[#This Row],[TE_COEFFICIENT_MANUAL]],PROPERTIES[[#This Row],[TE_COEFFICIENT_CALC]]),3)</f>
        <v>0.3</v>
      </c>
      <c r="W779" s="10" cm="1">
        <f t="array" ref="W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9" s="32">
        <v>0</v>
      </c>
      <c r="Y779" s="8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8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9" t="b">
        <v>0</v>
      </c>
      <c r="AY779"/>
      <c r="AZ779"/>
      <c r="BA779"/>
    </row>
    <row r="780" spans="1:53">
      <c r="A780" s="2" t="s">
        <v>782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0" t="str">
        <f>_xlfn.XLOOKUP(PROPERTIES[[#This Row],[COUNTRY]],COUNTRIES[COUNTRY_DESCRIPTION],COUNTRIES[COUNTRY_LABEL],"")</f>
        <v/>
      </c>
      <c r="G780" t="str" cm="1">
        <f t="array" ref="G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0" t="s">
        <v>320</v>
      </c>
      <c r="I780">
        <v>140</v>
      </c>
      <c r="J780">
        <v>8</v>
      </c>
      <c r="K780">
        <v>8</v>
      </c>
      <c r="L780" t="str" cm="1">
        <f t="array" ref="L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0">
        <f>_xlfn.XLOOKUP("LOADINGSPEEDDEF_"&amp;PROPERTIES[[#This Row],[LOADINGSPEED]],LOADINGSPEEDDEF[TYPE],LOADINGSPEEDDEF[SPEED])</f>
        <v>16</v>
      </c>
      <c r="N780" t="str" cm="1">
        <f t="array" ref="N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0">
        <f>IF(ISNUMBER(SEARCH("passenger",PROPERTIES[[#This Row],[CARGODEF]])),1,0)</f>
        <v>1</v>
      </c>
      <c r="P780" s="29">
        <v>50</v>
      </c>
      <c r="Q780">
        <v>0</v>
      </c>
      <c r="R780">
        <v>200</v>
      </c>
      <c r="S780" s="26">
        <v>0</v>
      </c>
      <c r="T780" s="25">
        <f>IFERROR(PROPERTIES[[#This Row],[TE_STARTING_KN]]/(PROPERTIES[[#This Row],[WEIGHT]]*9.81),0)</f>
        <v>0</v>
      </c>
      <c r="U780" s="25">
        <v>0.3</v>
      </c>
      <c r="V780" s="22">
        <f>ROUND(IF(IFERROR(PROPERTIES[[#This Row],[TE_COEFFICIENT_CALC]],0)=0,PROPERTIES[[#This Row],[TE_COEFFICIENT_MANUAL]],PROPERTIES[[#This Row],[TE_COEFFICIENT_CALC]]),3)</f>
        <v>0.3</v>
      </c>
      <c r="W780" s="10" cm="1">
        <f t="array" ref="W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0" s="32">
        <v>0</v>
      </c>
      <c r="Y780" s="8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8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9" t="b">
        <v>0</v>
      </c>
      <c r="AY780"/>
      <c r="AZ780"/>
      <c r="BA780"/>
    </row>
    <row r="781" spans="1:53">
      <c r="A781" s="2" t="s">
        <v>783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1" t="str">
        <f>_xlfn.XLOOKUP(PROPERTIES[[#This Row],[COUNTRY]],COUNTRIES[COUNTRY_DESCRIPTION],COUNTRIES[COUNTRY_LABEL],"")</f>
        <v/>
      </c>
      <c r="G781" t="str" cm="1">
        <f t="array" ref="G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1" t="s">
        <v>665</v>
      </c>
      <c r="I781">
        <v>180</v>
      </c>
      <c r="J781">
        <v>8</v>
      </c>
      <c r="K781">
        <v>8</v>
      </c>
      <c r="L781" t="str" cm="1">
        <f t="array" ref="L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1">
        <f>_xlfn.XLOOKUP("LOADINGSPEEDDEF_"&amp;PROPERTIES[[#This Row],[LOADINGSPEED]],LOADINGSPEEDDEF[TYPE],LOADINGSPEEDDEF[SPEED])</f>
        <v>15</v>
      </c>
      <c r="N781" t="str" cm="1">
        <f t="array" ref="N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1">
        <f>IF(ISNUMBER(SEARCH("passenger",PROPERTIES[[#This Row],[CARGODEF]])),1,0)</f>
        <v>0</v>
      </c>
      <c r="P781" s="29">
        <v>50</v>
      </c>
      <c r="Q781">
        <v>0</v>
      </c>
      <c r="R781">
        <v>250</v>
      </c>
      <c r="S781" s="26">
        <v>0</v>
      </c>
      <c r="T781" s="25">
        <f>IFERROR(PROPERTIES[[#This Row],[TE_STARTING_KN]]/(PROPERTIES[[#This Row],[WEIGHT]]*9.81),0)</f>
        <v>0</v>
      </c>
      <c r="U781" s="25">
        <v>0.3</v>
      </c>
      <c r="V781" s="22">
        <f>ROUND(IF(IFERROR(PROPERTIES[[#This Row],[TE_COEFFICIENT_CALC]],0)=0,PROPERTIES[[#This Row],[TE_COEFFICIENT_MANUAL]],PROPERTIES[[#This Row],[TE_COEFFICIENT_CALC]]),3)</f>
        <v>0.3</v>
      </c>
      <c r="W781" s="10" cm="1">
        <f t="array" ref="W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1" s="32">
        <v>0</v>
      </c>
      <c r="Y781" s="8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8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9" t="b">
        <v>0</v>
      </c>
      <c r="AY781"/>
      <c r="AZ781"/>
      <c r="BA781"/>
    </row>
    <row r="782" spans="1:53">
      <c r="A782" s="2" t="s">
        <v>784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2" t="str">
        <f>_xlfn.XLOOKUP(PROPERTIES[[#This Row],[COUNTRY]],COUNTRIES[COUNTRY_DESCRIPTION],COUNTRIES[COUNTRY_LABEL],"")</f>
        <v/>
      </c>
      <c r="G782" t="str" cm="1">
        <f t="array" ref="G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2" t="s">
        <v>320</v>
      </c>
      <c r="I782">
        <v>40</v>
      </c>
      <c r="J782">
        <v>6</v>
      </c>
      <c r="K782">
        <v>6</v>
      </c>
      <c r="L782" t="str" cm="1">
        <f t="array" ref="L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2">
        <f>_xlfn.XLOOKUP("LOADINGSPEEDDEF_"&amp;PROPERTIES[[#This Row],[LOADINGSPEED]],LOADINGSPEEDDEF[TYPE],LOADINGSPEEDDEF[SPEED])</f>
        <v>16</v>
      </c>
      <c r="N782" cm="1">
        <f t="array" ref="N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2">
        <f>IF(ISNUMBER(SEARCH("passenger",PROPERTIES[[#This Row],[CARGODEF]])),1,0)</f>
        <v>1</v>
      </c>
      <c r="P782" s="29">
        <v>15</v>
      </c>
      <c r="Q782">
        <v>0</v>
      </c>
      <c r="R782">
        <v>200</v>
      </c>
      <c r="S782" s="26">
        <v>0</v>
      </c>
      <c r="T782" s="25">
        <f>IFERROR(PROPERTIES[[#This Row],[TE_STARTING_KN]]/(PROPERTIES[[#This Row],[WEIGHT]]*9.81),0)</f>
        <v>0</v>
      </c>
      <c r="U782" s="25">
        <v>0.3</v>
      </c>
      <c r="V782" s="22">
        <f>ROUND(IF(IFERROR(PROPERTIES[[#This Row],[TE_COEFFICIENT_CALC]],0)=0,PROPERTIES[[#This Row],[TE_COEFFICIENT_MANUAL]],PROPERTIES[[#This Row],[TE_COEFFICIENT_CALC]]),3)</f>
        <v>0.3</v>
      </c>
      <c r="W782" s="10" cm="1">
        <f t="array" ref="W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2" s="32">
        <v>0</v>
      </c>
      <c r="Y782" s="8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8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9" t="b">
        <v>0</v>
      </c>
      <c r="AY782"/>
      <c r="AZ782"/>
      <c r="BA782"/>
    </row>
    <row r="783" spans="1:53">
      <c r="A783" s="2" t="s">
        <v>785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3" t="str">
        <f>_xlfn.XLOOKUP(PROPERTIES[[#This Row],[COUNTRY]],COUNTRIES[COUNTRY_DESCRIPTION],COUNTRIES[COUNTRY_LABEL],"")</f>
        <v/>
      </c>
      <c r="G783" t="str" cm="1">
        <f t="array" ref="G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3" t="s">
        <v>665</v>
      </c>
      <c r="I783">
        <v>60</v>
      </c>
      <c r="J783">
        <v>6</v>
      </c>
      <c r="K783">
        <v>6</v>
      </c>
      <c r="L783" t="str" cm="1">
        <f t="array" ref="L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3">
        <f>_xlfn.XLOOKUP("LOADINGSPEEDDEF_"&amp;PROPERTIES[[#This Row],[LOADINGSPEED]],LOADINGSPEEDDEF[TYPE],LOADINGSPEEDDEF[SPEED])</f>
        <v>15</v>
      </c>
      <c r="N783" cm="1">
        <f t="array" ref="N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3">
        <f>IF(ISNUMBER(SEARCH("passenger",PROPERTIES[[#This Row],[CARGODEF]])),1,0)</f>
        <v>0</v>
      </c>
      <c r="P783" s="29">
        <v>18</v>
      </c>
      <c r="Q783">
        <v>0</v>
      </c>
      <c r="R783">
        <v>200</v>
      </c>
      <c r="S783" s="26">
        <v>0</v>
      </c>
      <c r="T783" s="25">
        <f>IFERROR(PROPERTIES[[#This Row],[TE_STARTING_KN]]/(PROPERTIES[[#This Row],[WEIGHT]]*9.81),0)</f>
        <v>0</v>
      </c>
      <c r="U783" s="25">
        <v>0.3</v>
      </c>
      <c r="V783" s="22">
        <f>ROUND(IF(IFERROR(PROPERTIES[[#This Row],[TE_COEFFICIENT_CALC]],0)=0,PROPERTIES[[#This Row],[TE_COEFFICIENT_MANUAL]],PROPERTIES[[#This Row],[TE_COEFFICIENT_CALC]]),3)</f>
        <v>0.3</v>
      </c>
      <c r="W783" s="10" cm="1">
        <f t="array" ref="W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3" s="32">
        <v>0</v>
      </c>
      <c r="Y783" s="8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8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9" t="b">
        <v>0</v>
      </c>
      <c r="AY783"/>
      <c r="AZ783"/>
      <c r="BA783"/>
    </row>
    <row r="784" spans="1:53">
      <c r="A784" s="2" t="s">
        <v>786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4" t="str">
        <f>_xlfn.XLOOKUP(PROPERTIES[[#This Row],[COUNTRY]],COUNTRIES[COUNTRY_DESCRIPTION],COUNTRIES[COUNTRY_LABEL],"")</f>
        <v/>
      </c>
      <c r="G784" t="str" cm="1">
        <f t="array" ref="G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4" t="s">
        <v>320</v>
      </c>
      <c r="I784">
        <v>64</v>
      </c>
      <c r="J784">
        <v>8</v>
      </c>
      <c r="K784">
        <v>8</v>
      </c>
      <c r="L784" t="str" cm="1">
        <f t="array" ref="L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4">
        <f>_xlfn.XLOOKUP("LOADINGSPEEDDEF_"&amp;PROPERTIES[[#This Row],[LOADINGSPEED]],LOADINGSPEEDDEF[TYPE],LOADINGSPEEDDEF[SPEED])</f>
        <v>16</v>
      </c>
      <c r="N784" t="str" cm="1">
        <f t="array" ref="N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4">
        <f>IF(ISNUMBER(SEARCH("passenger",PROPERTIES[[#This Row],[CARGODEF]])),1,0)</f>
        <v>1</v>
      </c>
      <c r="P784" s="29">
        <v>30</v>
      </c>
      <c r="Q784">
        <v>0</v>
      </c>
      <c r="R784">
        <v>350</v>
      </c>
      <c r="S784" s="26">
        <v>0</v>
      </c>
      <c r="T784" s="25">
        <f>IFERROR(PROPERTIES[[#This Row],[TE_STARTING_KN]]/(PROPERTIES[[#This Row],[WEIGHT]]*9.81),0)</f>
        <v>0</v>
      </c>
      <c r="U784" s="25">
        <v>0.3</v>
      </c>
      <c r="V784" s="22">
        <f>ROUND(IF(IFERROR(PROPERTIES[[#This Row],[TE_COEFFICIENT_CALC]],0)=0,PROPERTIES[[#This Row],[TE_COEFFICIENT_MANUAL]],PROPERTIES[[#This Row],[TE_COEFFICIENT_CALC]]),3)</f>
        <v>0.3</v>
      </c>
      <c r="W784" s="10" cm="1">
        <f t="array" ref="W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4" s="32">
        <v>0</v>
      </c>
      <c r="Y784" s="8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8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9" t="b">
        <v>0</v>
      </c>
      <c r="AY784"/>
      <c r="AZ784"/>
      <c r="BA784"/>
    </row>
    <row r="785" spans="1:53">
      <c r="A785" s="2" t="s">
        <v>787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5" t="str">
        <f>_xlfn.XLOOKUP(PROPERTIES[[#This Row],[COUNTRY]],COUNTRIES[COUNTRY_DESCRIPTION],COUNTRIES[COUNTRY_LABEL],"")</f>
        <v/>
      </c>
      <c r="G785" t="str" cm="1">
        <f t="array" ref="G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5" t="s">
        <v>320</v>
      </c>
      <c r="I785">
        <v>255</v>
      </c>
      <c r="J785">
        <v>8</v>
      </c>
      <c r="K785">
        <v>8</v>
      </c>
      <c r="L785" t="str" cm="1">
        <f t="array" ref="L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5">
        <f>_xlfn.XLOOKUP("LOADINGSPEEDDEF_"&amp;PROPERTIES[[#This Row],[LOADINGSPEED]],LOADINGSPEEDDEF[TYPE],LOADINGSPEEDDEF[SPEED])</f>
        <v>16</v>
      </c>
      <c r="N785" t="str" cm="1">
        <f t="array" ref="N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5">
        <f>IF(ISNUMBER(SEARCH("passenger",PROPERTIES[[#This Row],[CARGODEF]])),1,0)</f>
        <v>1</v>
      </c>
      <c r="P785" s="29">
        <v>36</v>
      </c>
      <c r="Q785">
        <v>0</v>
      </c>
      <c r="R785">
        <v>230</v>
      </c>
      <c r="S785" s="26">
        <v>0</v>
      </c>
      <c r="T785" s="25">
        <f>IFERROR(PROPERTIES[[#This Row],[TE_STARTING_KN]]/(PROPERTIES[[#This Row],[WEIGHT]]*9.81),0)</f>
        <v>0</v>
      </c>
      <c r="U785" s="25">
        <v>0.3</v>
      </c>
      <c r="V785" s="22">
        <f>ROUND(IF(IFERROR(PROPERTIES[[#This Row],[TE_COEFFICIENT_CALC]],0)=0,PROPERTIES[[#This Row],[TE_COEFFICIENT_MANUAL]],PROPERTIES[[#This Row],[TE_COEFFICIENT_CALC]]),3)</f>
        <v>0.3</v>
      </c>
      <c r="W785" s="10" cm="1">
        <f t="array" ref="W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5" s="32">
        <v>0</v>
      </c>
      <c r="Y785" s="8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8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9" t="b">
        <v>0</v>
      </c>
      <c r="AY785"/>
      <c r="AZ785"/>
      <c r="BA785"/>
    </row>
    <row r="786" spans="1:53">
      <c r="A786" s="2" t="s">
        <v>788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6" t="str">
        <f>_xlfn.XLOOKUP(PROPERTIES[[#This Row],[COUNTRY]],COUNTRIES[COUNTRY_DESCRIPTION],COUNTRIES[COUNTRY_LABEL],"")</f>
        <v/>
      </c>
      <c r="G786" t="str" cm="1">
        <f t="array" ref="G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6" t="s">
        <v>320</v>
      </c>
      <c r="I786">
        <v>255</v>
      </c>
      <c r="J786">
        <v>8</v>
      </c>
      <c r="K786">
        <v>8</v>
      </c>
      <c r="L786" t="str" cm="1">
        <f t="array" ref="L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86">
        <f>_xlfn.XLOOKUP("LOADINGSPEEDDEF_"&amp;PROPERTIES[[#This Row],[LOADINGSPEED]],LOADINGSPEEDDEF[TYPE],LOADINGSPEEDDEF[SPEED])</f>
        <v>40</v>
      </c>
      <c r="N786" t="str" cm="1">
        <f t="array" ref="N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6">
        <f>IF(ISNUMBER(SEARCH("passenger",PROPERTIES[[#This Row],[CARGODEF]])),1,0)</f>
        <v>1</v>
      </c>
      <c r="P786" s="29">
        <v>33</v>
      </c>
      <c r="Q786">
        <v>0</v>
      </c>
      <c r="R786">
        <v>140</v>
      </c>
      <c r="S786" s="26">
        <v>0</v>
      </c>
      <c r="T786" s="25">
        <f>IFERROR(PROPERTIES[[#This Row],[TE_STARTING_KN]]/(PROPERTIES[[#This Row],[WEIGHT]]*9.81),0)</f>
        <v>0</v>
      </c>
      <c r="U786" s="25">
        <v>0.3</v>
      </c>
      <c r="V786" s="22">
        <f>ROUND(IF(IFERROR(PROPERTIES[[#This Row],[TE_COEFFICIENT_CALC]],0)=0,PROPERTIES[[#This Row],[TE_COEFFICIENT_MANUAL]],PROPERTIES[[#This Row],[TE_COEFFICIENT_CALC]]),3)</f>
        <v>0.3</v>
      </c>
      <c r="W786" s="10" cm="1">
        <f t="array" ref="W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6" s="32">
        <v>0</v>
      </c>
      <c r="Y786" s="8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8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9" t="b">
        <v>0</v>
      </c>
      <c r="AY786"/>
      <c r="AZ786"/>
      <c r="BA786"/>
    </row>
    <row r="787" spans="1:53">
      <c r="A787" s="2" t="s">
        <v>789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7" t="str">
        <f>_xlfn.XLOOKUP(PROPERTIES[[#This Row],[COUNTRY]],COUNTRIES[COUNTRY_DESCRIPTION],COUNTRIES[COUNTRY_LABEL],"")</f>
        <v/>
      </c>
      <c r="G787" t="str" cm="1">
        <f t="array" ref="G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7" t="s">
        <v>665</v>
      </c>
      <c r="I787">
        <v>255</v>
      </c>
      <c r="J787">
        <v>8</v>
      </c>
      <c r="K787">
        <v>8</v>
      </c>
      <c r="L787" t="str" cm="1">
        <f t="array" ref="L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7">
        <f>_xlfn.XLOOKUP("LOADINGSPEEDDEF_"&amp;PROPERTIES[[#This Row],[LOADINGSPEED]],LOADINGSPEEDDEF[TYPE],LOADINGSPEEDDEF[SPEED])</f>
        <v>15</v>
      </c>
      <c r="N787" t="str" cm="1">
        <f t="array" ref="N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7">
        <f>IF(ISNUMBER(SEARCH("passenger",PROPERTIES[[#This Row],[CARGODEF]])),1,0)</f>
        <v>0</v>
      </c>
      <c r="P787" s="29">
        <v>32</v>
      </c>
      <c r="Q787">
        <v>0</v>
      </c>
      <c r="R787">
        <v>350</v>
      </c>
      <c r="S787" s="26">
        <v>0</v>
      </c>
      <c r="T787" s="25">
        <f>IFERROR(PROPERTIES[[#This Row],[TE_STARTING_KN]]/(PROPERTIES[[#This Row],[WEIGHT]]*9.81),0)</f>
        <v>0</v>
      </c>
      <c r="U787" s="25">
        <v>0.3</v>
      </c>
      <c r="V787" s="22">
        <f>ROUND(IF(IFERROR(PROPERTIES[[#This Row],[TE_COEFFICIENT_CALC]],0)=0,PROPERTIES[[#This Row],[TE_COEFFICIENT_MANUAL]],PROPERTIES[[#This Row],[TE_COEFFICIENT_CALC]]),3)</f>
        <v>0.3</v>
      </c>
      <c r="W787" s="10" cm="1">
        <f t="array" ref="W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7" s="32">
        <v>0</v>
      </c>
      <c r="Y787" s="8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8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9" t="b">
        <v>0</v>
      </c>
      <c r="AY787"/>
      <c r="AZ787"/>
      <c r="BA787"/>
    </row>
    <row r="788" spans="1:53">
      <c r="A788" s="2" t="s">
        <v>790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8" t="str">
        <f>_xlfn.XLOOKUP(PROPERTIES[[#This Row],[COUNTRY]],COUNTRIES[COUNTRY_DESCRIPTION],COUNTRIES[COUNTRY_LABEL],"")</f>
        <v/>
      </c>
      <c r="G788" t="str" cm="1">
        <f t="array" ref="G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8" t="s">
        <v>320</v>
      </c>
      <c r="I788">
        <v>255</v>
      </c>
      <c r="J788">
        <v>8</v>
      </c>
      <c r="K788">
        <v>8</v>
      </c>
      <c r="L788" t="str" cm="1">
        <f t="array" ref="L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8">
        <f>_xlfn.XLOOKUP("LOADINGSPEEDDEF_"&amp;PROPERTIES[[#This Row],[LOADINGSPEED]],LOADINGSPEEDDEF[TYPE],LOADINGSPEEDDEF[SPEED])</f>
        <v>16</v>
      </c>
      <c r="N788" t="str" cm="1">
        <f t="array" ref="N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8">
        <f>IF(ISNUMBER(SEARCH("passenger",PROPERTIES[[#This Row],[CARGODEF]])),1,0)</f>
        <v>1</v>
      </c>
      <c r="P788" s="29">
        <v>44</v>
      </c>
      <c r="Q788">
        <v>0</v>
      </c>
      <c r="R788">
        <v>200</v>
      </c>
      <c r="S788" s="26">
        <v>0</v>
      </c>
      <c r="T788" s="25">
        <f>IFERROR(PROPERTIES[[#This Row],[TE_STARTING_KN]]/(PROPERTIES[[#This Row],[WEIGHT]]*9.81),0)</f>
        <v>0</v>
      </c>
      <c r="U788" s="25">
        <v>0.3</v>
      </c>
      <c r="V788" s="22">
        <f>ROUND(IF(IFERROR(PROPERTIES[[#This Row],[TE_COEFFICIENT_CALC]],0)=0,PROPERTIES[[#This Row],[TE_COEFFICIENT_MANUAL]],PROPERTIES[[#This Row],[TE_COEFFICIENT_CALC]]),3)</f>
        <v>0.3</v>
      </c>
      <c r="W788" s="10" cm="1">
        <f t="array" ref="W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8" s="32">
        <v>0</v>
      </c>
      <c r="Y788" s="8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8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9" t="b">
        <v>0</v>
      </c>
      <c r="AY788"/>
      <c r="AZ788"/>
      <c r="BA788"/>
    </row>
    <row r="789" spans="1:53">
      <c r="A789" s="2" t="s">
        <v>791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9" t="str">
        <f>_xlfn.XLOOKUP(PROPERTIES[[#This Row],[COUNTRY]],COUNTRIES[COUNTRY_DESCRIPTION],COUNTRIES[COUNTRY_LABEL],"")</f>
        <v/>
      </c>
      <c r="G789" t="str" cm="1">
        <f t="array" ref="G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9" t="s">
        <v>320</v>
      </c>
      <c r="I789">
        <v>120</v>
      </c>
      <c r="J789">
        <v>8</v>
      </c>
      <c r="K789">
        <v>8</v>
      </c>
      <c r="L789" t="str" cm="1">
        <f t="array" ref="L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9">
        <f>_xlfn.XLOOKUP("LOADINGSPEEDDEF_"&amp;PROPERTIES[[#This Row],[LOADINGSPEED]],LOADINGSPEEDDEF[TYPE],LOADINGSPEEDDEF[SPEED])</f>
        <v>16</v>
      </c>
      <c r="N789" t="str" cm="1">
        <f t="array" ref="N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9">
        <f>IF(ISNUMBER(SEARCH("passenger",PROPERTIES[[#This Row],[CARGODEF]])),1,0)</f>
        <v>1</v>
      </c>
      <c r="P789" s="29">
        <v>42</v>
      </c>
      <c r="Q789">
        <v>0</v>
      </c>
      <c r="R789">
        <v>350</v>
      </c>
      <c r="S789" s="26">
        <v>0</v>
      </c>
      <c r="T789" s="25">
        <f>IFERROR(PROPERTIES[[#This Row],[TE_STARTING_KN]]/(PROPERTIES[[#This Row],[WEIGHT]]*9.81),0)</f>
        <v>0</v>
      </c>
      <c r="U789" s="25">
        <v>0.3</v>
      </c>
      <c r="V789" s="22">
        <f>ROUND(IF(IFERROR(PROPERTIES[[#This Row],[TE_COEFFICIENT_CALC]],0)=0,PROPERTIES[[#This Row],[TE_COEFFICIENT_MANUAL]],PROPERTIES[[#This Row],[TE_COEFFICIENT_CALC]]),3)</f>
        <v>0.3</v>
      </c>
      <c r="W789" s="10" cm="1">
        <f t="array" ref="W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9" s="32">
        <v>0</v>
      </c>
      <c r="Y789" s="8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8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9" t="b">
        <v>0</v>
      </c>
      <c r="AY789"/>
      <c r="AZ789"/>
      <c r="BA789"/>
    </row>
    <row r="790" spans="1:53">
      <c r="A790" s="2" t="s">
        <v>1692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t="s">
        <v>2201</v>
      </c>
      <c r="F790" t="str">
        <f>_xlfn.XLOOKUP(PROPERTIES[[#This Row],[COUNTRY]],COUNTRIES[COUNTRY_DESCRIPTION],COUNTRIES[COUNTRY_LABEL],"")</f>
        <v>GA</v>
      </c>
      <c r="G790" t="str" cm="1">
        <f t="array" ref="G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0" t="s">
        <v>19</v>
      </c>
      <c r="I790">
        <v>0</v>
      </c>
      <c r="J790">
        <v>8</v>
      </c>
      <c r="K790">
        <v>8</v>
      </c>
      <c r="L790" t="str" cm="1">
        <f t="array" ref="L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0">
        <f>_xlfn.XLOOKUP("LOADINGSPEEDDEF_"&amp;PROPERTIES[[#This Row],[LOADINGSPEED]],LOADINGSPEEDDEF[TYPE],LOADINGSPEEDDEF[SPEED])</f>
        <v>20</v>
      </c>
      <c r="N790" cm="1">
        <f t="array" ref="N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0">
        <f>IF(ISNUMBER(SEARCH("passenger",PROPERTIES[[#This Row],[CARGODEF]])),1,0)</f>
        <v>0</v>
      </c>
      <c r="P790" s="29">
        <v>110</v>
      </c>
      <c r="Q790">
        <v>3000</v>
      </c>
      <c r="R790">
        <v>80</v>
      </c>
      <c r="S790" s="26">
        <v>320</v>
      </c>
      <c r="T790" s="25">
        <f>IFERROR(PROPERTIES[[#This Row],[TE_STARTING_KN]]/(PROPERTIES[[#This Row],[WEIGHT]]*9.81),0)</f>
        <v>0.2965434158094708</v>
      </c>
      <c r="U790" s="25">
        <f>IF(PROPERTIES[[#This Row],[INTRODUCTION_YEAR]]&gt;1980,0.3,IF(PROPERTIES[[#This Row],[ENGINE_CLASS]]="STEAM",0.2,0.25))</f>
        <v>0.25</v>
      </c>
      <c r="V790" s="22">
        <f>ROUND(IF(IFERROR(PROPERTIES[[#This Row],[TE_COEFFICIENT_CALC]],0)=0,PROPERTIES[[#This Row],[TE_COEFFICIENT_MANUAL]],PROPERTIES[[#This Row],[TE_COEFFICIENT_CALC]]),3)</f>
        <v>0.29699999999999999</v>
      </c>
      <c r="W790" s="10" cm="1">
        <f t="array" ref="W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0" s="32">
        <v>0</v>
      </c>
      <c r="Y790" s="8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8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9" t="b">
        <v>0</v>
      </c>
      <c r="AX790" s="8"/>
      <c r="AY790" s="9"/>
      <c r="AZ790" s="10"/>
      <c r="BA790"/>
    </row>
    <row r="791" spans="1:53">
      <c r="A791" s="2" t="s">
        <v>1693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t="s">
        <v>1737</v>
      </c>
      <c r="F791" t="str">
        <f>_xlfn.XLOOKUP(PROPERTIES[[#This Row],[COUNTRY]],COUNTRIES[COUNTRY_DESCRIPTION],COUNTRIES[COUNTRY_LABEL],"")</f>
        <v>CD</v>
      </c>
      <c r="G791" t="str" cm="1">
        <f t="array" ref="G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1" t="s">
        <v>19</v>
      </c>
      <c r="I791">
        <v>0</v>
      </c>
      <c r="J791">
        <v>7</v>
      </c>
      <c r="K791">
        <v>12</v>
      </c>
      <c r="L791" t="str" cm="1">
        <f t="array" ref="L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1">
        <f>_xlfn.XLOOKUP("LOADINGSPEEDDEF_"&amp;PROPERTIES[[#This Row],[LOADINGSPEED]],LOADINGSPEEDDEF[TYPE],LOADINGSPEEDDEF[SPEED])</f>
        <v>20</v>
      </c>
      <c r="N791" cm="1">
        <f t="array" ref="N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1">
        <f>IF(ISNUMBER(SEARCH("passenger",PROPERTIES[[#This Row],[CARGODEF]])),1,0)</f>
        <v>0</v>
      </c>
      <c r="P791" s="29">
        <v>67</v>
      </c>
      <c r="Q791">
        <v>950</v>
      </c>
      <c r="R791">
        <v>55</v>
      </c>
      <c r="S791" s="26">
        <v>143.31725222</v>
      </c>
      <c r="T791" s="25">
        <f>IFERROR(PROPERTIES[[#This Row],[TE_STARTING_KN]]/(PROPERTIES[[#This Row],[WEIGHT]]*9.81),0)</f>
        <v>0.21804928297351164</v>
      </c>
      <c r="U791" s="25">
        <v>0.12</v>
      </c>
      <c r="V791" s="22">
        <f>ROUND(IF(IFERROR(PROPERTIES[[#This Row],[TE_COEFFICIENT_CALC]],0)=0,PROPERTIES[[#This Row],[TE_COEFFICIENT_MANUAL]],PROPERTIES[[#This Row],[TE_COEFFICIENT_CALC]]),3)</f>
        <v>0.218</v>
      </c>
      <c r="W791" s="10" cm="1">
        <f t="array" ref="W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791" s="32">
        <v>0</v>
      </c>
      <c r="Y791" s="8">
        <v>5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8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9" t="b">
        <v>0</v>
      </c>
      <c r="AX791" s="8"/>
      <c r="AY791" s="9"/>
      <c r="AZ791" s="10"/>
      <c r="BA791"/>
    </row>
    <row r="792" spans="1:53">
      <c r="A792" s="2" t="s">
        <v>2739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t="s">
        <v>1810</v>
      </c>
      <c r="F792" t="str">
        <f>_xlfn.XLOOKUP(PROPERTIES[[#This Row],[COUNTRY]],COUNTRIES[COUNTRY_DESCRIPTION],COUNTRIES[COUNTRY_LABEL],"")</f>
        <v>JP</v>
      </c>
      <c r="G792" t="str" cm="1">
        <f t="array" ref="G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2" t="s">
        <v>526</v>
      </c>
      <c r="I792">
        <v>60</v>
      </c>
      <c r="J792">
        <v>8</v>
      </c>
      <c r="K792">
        <v>8</v>
      </c>
      <c r="L792" t="str" cm="1">
        <f t="array" ref="L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2">
        <f>_xlfn.XLOOKUP("LOADINGSPEEDDEF_"&amp;PROPERTIES[[#This Row],[LOADINGSPEED]],LOADINGSPEEDDEF[TYPE],LOADINGSPEEDDEF[SPEED])</f>
        <v>20</v>
      </c>
      <c r="N792" t="str" cm="1">
        <f t="array" ref="N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92">
        <f>IF(ISNUMBER(SEARCH("passenger",PROPERTIES[[#This Row],[CARGODEF]])),1,0)</f>
        <v>0</v>
      </c>
      <c r="P792" s="29">
        <f>51/2</f>
        <v>25.5</v>
      </c>
      <c r="Q792">
        <v>2360</v>
      </c>
      <c r="R792">
        <v>140</v>
      </c>
      <c r="S792" s="26">
        <f>98/2</f>
        <v>49</v>
      </c>
      <c r="T792" s="25">
        <f>IFERROR(PROPERTIES[[#This Row],[TE_STARTING_KN]]/(PROPERTIES[[#This Row],[WEIGHT]]*9.81),0)</f>
        <v>0.19587855529571666</v>
      </c>
      <c r="U792" s="25">
        <v>0.17</v>
      </c>
      <c r="V792" s="22">
        <f>ROUND(IF(IFERROR(PROPERTIES[[#This Row],[TE_COEFFICIENT_CALC]],0)=0,PROPERTIES[[#This Row],[TE_COEFFICIENT_MANUAL]],PROPERTIES[[#This Row],[TE_COEFFICIENT_CALC]]),3)</f>
        <v>0.19600000000000001</v>
      </c>
      <c r="W792" s="10" cm="1">
        <f t="array" ref="W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792" s="32">
        <v>60</v>
      </c>
      <c r="Y792" s="8">
        <v>8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8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9" t="b">
        <v>0</v>
      </c>
      <c r="AH792" s="9" t="b">
        <v>0</v>
      </c>
    </row>
    <row r="793" spans="1:53">
      <c r="A793" s="2" t="s">
        <v>2873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t="s">
        <v>1754</v>
      </c>
      <c r="F793" t="str">
        <f>_xlfn.XLOOKUP(PROPERTIES[[#This Row],[COUNTRY]],COUNTRIES[COUNTRY_DESCRIPTION],COUNTRIES[COUNTRY_LABEL],"")</f>
        <v>DE</v>
      </c>
      <c r="G793" t="str" cm="1">
        <f t="array" ref="G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3" t="s">
        <v>17</v>
      </c>
      <c r="I793">
        <v>80</v>
      </c>
      <c r="J793">
        <v>6</v>
      </c>
      <c r="K793">
        <v>6</v>
      </c>
      <c r="L793" t="str" cm="1">
        <f t="array" ref="L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3">
        <f>_xlfn.XLOOKUP("LOADINGSPEEDDEF_"&amp;PROPERTIES[[#This Row],[LOADINGSPEED]],LOADINGSPEEDDEF[TYPE],LOADINGSPEEDDEF[SPEED])</f>
        <v>40</v>
      </c>
      <c r="N793" cm="1">
        <f t="array" ref="N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3">
        <f>IF(ISNUMBER(SEARCH("passenger",PROPERTIES[[#This Row],[CARGODEF]])),1,0)</f>
        <v>1</v>
      </c>
      <c r="P793" s="29">
        <v>29</v>
      </c>
      <c r="Q793">
        <v>99</v>
      </c>
      <c r="R793">
        <f>INT(25*1.62)</f>
        <v>40</v>
      </c>
      <c r="S793" s="26">
        <v>13.4</v>
      </c>
      <c r="T793" s="25">
        <f>IFERROR(PROPERTIES[[#This Row],[TE_STARTING_KN]]/(PROPERTIES[[#This Row],[WEIGHT]]*9.81),0)</f>
        <v>4.7101831347323278E-2</v>
      </c>
      <c r="U793" s="25">
        <v>0</v>
      </c>
      <c r="V793" s="22">
        <f>ROUND(IF(IFERROR(PROPERTIES[[#This Row],[TE_COEFFICIENT_CALC]],0)=0,PROPERTIES[[#This Row],[TE_COEFFICIENT_MANUAL]],PROPERTIES[[#This Row],[TE_COEFFICIENT_CALC]]),3)</f>
        <v>4.7E-2</v>
      </c>
      <c r="W793" s="10" cm="1">
        <f t="array" ref="W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3" s="32">
        <v>0</v>
      </c>
      <c r="Y793" s="8">
        <v>0</v>
      </c>
      <c r="Z793" t="s">
        <v>3517</v>
      </c>
      <c r="AA793" t="s">
        <v>868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8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9" t="b">
        <v>0</v>
      </c>
    </row>
    <row r="794" spans="1:53">
      <c r="A794" s="2" t="s">
        <v>2875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t="s">
        <v>1709</v>
      </c>
      <c r="F794" t="str">
        <f>_xlfn.XLOOKUP(PROPERTIES[[#This Row],[COUNTRY]],COUNTRIES[COUNTRY_DESCRIPTION],COUNTRIES[COUNTRY_LABEL],"")</f>
        <v>AT</v>
      </c>
      <c r="G794" t="str" cm="1">
        <f t="array" ref="G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4" t="s">
        <v>17</v>
      </c>
      <c r="I794">
        <v>30</v>
      </c>
      <c r="J794">
        <v>5</v>
      </c>
      <c r="K794">
        <v>5</v>
      </c>
      <c r="L794" t="str" cm="1">
        <f t="array" ref="L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4">
        <f>_xlfn.XLOOKUP("LOADINGSPEEDDEF_"&amp;PROPERTIES[[#This Row],[LOADINGSPEED]],LOADINGSPEEDDEF[TYPE],LOADINGSPEEDDEF[SPEED])</f>
        <v>40</v>
      </c>
      <c r="N794" cm="1">
        <f t="array" ref="N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4">
        <f>IF(ISNUMBER(SEARCH("passenger",PROPERTIES[[#This Row],[CARGODEF]])),1,0)</f>
        <v>1</v>
      </c>
      <c r="P794" s="29">
        <v>24</v>
      </c>
      <c r="Q794">
        <v>150</v>
      </c>
      <c r="R794">
        <v>40</v>
      </c>
      <c r="S794" s="26">
        <v>23.3576116216</v>
      </c>
      <c r="T794" s="25">
        <f>IFERROR(PROPERTIES[[#This Row],[TE_STARTING_KN]]/(PROPERTIES[[#This Row],[WEIGHT]]*9.81),0)</f>
        <v>9.920834022086307E-2</v>
      </c>
      <c r="U794" s="25">
        <v>0</v>
      </c>
      <c r="V794" s="22">
        <f>ROUND(IF(IFERROR(PROPERTIES[[#This Row],[TE_COEFFICIENT_CALC]],0)=0,PROPERTIES[[#This Row],[TE_COEFFICIENT_MANUAL]],PROPERTIES[[#This Row],[TE_COEFFICIENT_CALC]]),3)</f>
        <v>9.9000000000000005E-2</v>
      </c>
      <c r="W794" s="10" cm="1">
        <f t="array" ref="W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4" s="32">
        <v>0</v>
      </c>
      <c r="Y794" s="8">
        <v>0</v>
      </c>
      <c r="Z794" s="8" t="s">
        <v>869</v>
      </c>
      <c r="AA794" s="9" t="s">
        <v>868</v>
      </c>
      <c r="AB794" s="9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8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9" t="b">
        <v>0</v>
      </c>
      <c r="AH794" s="9" t="b">
        <v>0</v>
      </c>
    </row>
    <row r="795" spans="1:53">
      <c r="A795" t="s">
        <v>2877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t="s">
        <v>1855</v>
      </c>
      <c r="F795" t="str">
        <f>_xlfn.XLOOKUP(PROPERTIES[[#This Row],[COUNTRY]],COUNTRIES[COUNTRY_DESCRIPTION],COUNTRIES[COUNTRY_LABEL],"")</f>
        <v>MZ</v>
      </c>
      <c r="G795" t="str" cm="1">
        <f t="array" ref="G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5" t="s">
        <v>19</v>
      </c>
      <c r="I795">
        <v>0</v>
      </c>
      <c r="J795">
        <v>6</v>
      </c>
      <c r="K795">
        <v>11</v>
      </c>
      <c r="L795" t="str" cm="1">
        <f t="array" ref="L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5">
        <f>_xlfn.XLOOKUP("LOADINGSPEEDDEF_"&amp;PROPERTIES[[#This Row],[LOADINGSPEED]],LOADINGSPEEDDEF[TYPE],LOADINGSPEEDDEF[SPEED])</f>
        <v>20</v>
      </c>
      <c r="N795" cm="1">
        <f t="array" ref="N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5">
        <f>IF(ISNUMBER(SEARCH("passenger",PROPERTIES[[#This Row],[CARGODEF]])),1,0)</f>
        <v>0</v>
      </c>
      <c r="P795" s="29">
        <v>101</v>
      </c>
      <c r="Q795">
        <v>1207</v>
      </c>
      <c r="R795">
        <v>96</v>
      </c>
      <c r="S795" s="26">
        <v>103</v>
      </c>
      <c r="T795" s="25">
        <f>IFERROR(PROPERTIES[[#This Row],[TE_STARTING_KN]]/(PROPERTIES[[#This Row],[WEIGHT]]*9.81),0)</f>
        <v>0.10395534966340671</v>
      </c>
      <c r="U795" s="25">
        <v>0</v>
      </c>
      <c r="V795" s="22">
        <f>ROUND(IF(IFERROR(PROPERTIES[[#This Row],[TE_COEFFICIENT_CALC]],0)=0,PROPERTIES[[#This Row],[TE_COEFFICIENT_MANUAL]],PROPERTIES[[#This Row],[TE_COEFFICIENT_CALC]]),3)</f>
        <v>0.104</v>
      </c>
      <c r="W795" s="10" cm="1">
        <f t="array" ref="W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5" s="32">
        <v>0</v>
      </c>
      <c r="Y795" s="8">
        <v>5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8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9" t="b">
        <v>0</v>
      </c>
    </row>
    <row r="796" spans="1:53">
      <c r="A796" t="s">
        <v>2879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t="s">
        <v>1741</v>
      </c>
      <c r="F796" t="str">
        <f>_xlfn.XLOOKUP(PROPERTIES[[#This Row],[COUNTRY]],COUNTRIES[COUNTRY_DESCRIPTION],COUNTRIES[COUNTRY_LABEL],"")</f>
        <v>CI</v>
      </c>
      <c r="G796" t="str" cm="1">
        <f t="array" ref="G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6" t="s">
        <v>19</v>
      </c>
      <c r="I796">
        <v>0</v>
      </c>
      <c r="J796">
        <v>7</v>
      </c>
      <c r="K796">
        <v>11</v>
      </c>
      <c r="L796" t="str" cm="1">
        <f t="array" ref="L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6">
        <f>_xlfn.XLOOKUP("LOADINGSPEEDDEF_"&amp;PROPERTIES[[#This Row],[LOADINGSPEED]],LOADINGSPEEDDEF[TYPE],LOADINGSPEEDDEF[SPEED])</f>
        <v>20</v>
      </c>
      <c r="N796" cm="1">
        <f t="array" ref="N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6">
        <f>IF(ISNUMBER(SEARCH("passenger",PROPERTIES[[#This Row],[CARGODEF]])),1,0)</f>
        <v>0</v>
      </c>
      <c r="P796" s="29">
        <v>96</v>
      </c>
      <c r="Q796">
        <v>939</v>
      </c>
      <c r="R796">
        <v>40</v>
      </c>
      <c r="S796" s="26">
        <v>166</v>
      </c>
      <c r="T796" s="26">
        <f>IFERROR(PROPERTIES[[#This Row],[TE_STARTING_KN]]/(PROPERTIES[[#This Row],[WEIGHT]]*9.81),0)</f>
        <v>0.17626571525654094</v>
      </c>
      <c r="U796" s="26">
        <v>0</v>
      </c>
      <c r="V796" s="22">
        <f>ROUND(IF(IFERROR(PROPERTIES[[#This Row],[TE_COEFFICIENT_CALC]],0)=0,PROPERTIES[[#This Row],[TE_COEFFICIENT_MANUAL]],PROPERTIES[[#This Row],[TE_COEFFICIENT_CALC]]),3)</f>
        <v>0.17599999999999999</v>
      </c>
      <c r="W796" s="10" cm="1">
        <f t="array" ref="W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6" s="32">
        <v>0</v>
      </c>
      <c r="Y796" s="8">
        <v>4</v>
      </c>
      <c r="Z796" s="8" t="s">
        <v>872</v>
      </c>
      <c r="AA796" s="9" t="s">
        <v>868</v>
      </c>
      <c r="AB796" s="9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8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9" t="b">
        <v>0</v>
      </c>
    </row>
    <row r="797" spans="1:53">
      <c r="A797" t="s">
        <v>2892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t="s">
        <v>1778</v>
      </c>
      <c r="F797" t="str">
        <f>_xlfn.XLOOKUP(PROPERTIES[[#This Row],[COUNTRY]],COUNTRIES[COUNTRY_DESCRIPTION],COUNTRIES[COUNTRY_LABEL],"")</f>
        <v>GH</v>
      </c>
      <c r="G797" t="str" cm="1">
        <f t="array" ref="G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7" t="s">
        <v>19</v>
      </c>
      <c r="I797">
        <v>0</v>
      </c>
      <c r="J797">
        <v>8</v>
      </c>
      <c r="K797">
        <v>9</v>
      </c>
      <c r="L797" t="str" cm="1">
        <f t="array" ref="L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7">
        <f>_xlfn.XLOOKUP("LOADINGSPEEDDEF_"&amp;PROPERTIES[[#This Row],[LOADINGSPEED]],LOADINGSPEEDDEF[TYPE],LOADINGSPEEDDEF[SPEED])</f>
        <v>20</v>
      </c>
      <c r="N797" cm="1">
        <f t="array" ref="N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7">
        <f>IF(ISNUMBER(SEARCH("passenger",PROPERTIES[[#This Row],[CARGODEF]])),1,0)</f>
        <v>0</v>
      </c>
      <c r="P797" s="29">
        <v>83</v>
      </c>
      <c r="Q797">
        <v>1425</v>
      </c>
      <c r="R797">
        <v>100</v>
      </c>
      <c r="S797" s="26">
        <v>240</v>
      </c>
      <c r="T797" s="26">
        <f>IFERROR(PROPERTIES[[#This Row],[TE_STARTING_KN]]/(PROPERTIES[[#This Row],[WEIGHT]]*9.81),0)</f>
        <v>0.29475700969013668</v>
      </c>
      <c r="U797" s="26">
        <v>0</v>
      </c>
      <c r="V797" s="22">
        <f>ROUND(IF(IFERROR(PROPERTIES[[#This Row],[TE_COEFFICIENT_CALC]],0)=0,PROPERTIES[[#This Row],[TE_COEFFICIENT_MANUAL]],PROPERTIES[[#This Row],[TE_COEFFICIENT_CALC]]),3)</f>
        <v>0.29499999999999998</v>
      </c>
      <c r="W797" s="10" cm="1">
        <f t="array" ref="W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7" s="42">
        <v>0</v>
      </c>
      <c r="Y797" s="35">
        <v>0</v>
      </c>
      <c r="Z797" s="19" t="s">
        <v>872</v>
      </c>
      <c r="AA797" s="19" t="s">
        <v>868</v>
      </c>
      <c r="AB797" s="34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8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4" t="b">
        <v>0</v>
      </c>
      <c r="AH797" s="9" t="b">
        <v>0</v>
      </c>
    </row>
    <row r="798" spans="1:53">
      <c r="A798" s="2" t="s">
        <v>2894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t="s">
        <v>1827</v>
      </c>
      <c r="F798" t="str">
        <f>_xlfn.XLOOKUP(PROPERTIES[[#This Row],[COUNTRY]],COUNTRIES[COUNTRY_DESCRIPTION],COUNTRIES[COUNTRY_LABEL],"")</f>
        <v>LR</v>
      </c>
      <c r="G798" t="str" cm="1">
        <f t="array" ref="G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8" t="s">
        <v>19</v>
      </c>
      <c r="I798">
        <v>0</v>
      </c>
      <c r="J798">
        <v>8</v>
      </c>
      <c r="K798">
        <v>10</v>
      </c>
      <c r="L798" t="str" cm="1">
        <f t="array" ref="L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8">
        <f>_xlfn.XLOOKUP("LOADINGSPEEDDEF_"&amp;PROPERTIES[[#This Row],[LOADINGSPEED]],LOADINGSPEEDDEF[TYPE],LOADINGSPEEDDEF[SPEED])</f>
        <v>20</v>
      </c>
      <c r="N798" cm="1">
        <f t="array" ref="N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8">
        <f>IF(ISNUMBER(SEARCH("passenger",PROPERTIES[[#This Row],[CARGODEF]])),1,0)</f>
        <v>0</v>
      </c>
      <c r="P798" s="29">
        <v>176</v>
      </c>
      <c r="Q798">
        <v>1950</v>
      </c>
      <c r="R798">
        <v>105</v>
      </c>
      <c r="S798" s="26">
        <v>512</v>
      </c>
      <c r="T798" s="26">
        <f>IFERROR(PROPERTIES[[#This Row],[TE_STARTING_KN]]/(PROPERTIES[[#This Row],[WEIGHT]]*9.81),0)</f>
        <v>0.2965434158094708</v>
      </c>
      <c r="U798" s="26">
        <v>0</v>
      </c>
      <c r="V798" s="22">
        <f>ROUND(IF(IFERROR(PROPERTIES[[#This Row],[TE_COEFFICIENT_CALC]],0)=0,PROPERTIES[[#This Row],[TE_COEFFICIENT_MANUAL]],PROPERTIES[[#This Row],[TE_COEFFICIENT_CALC]]),3)</f>
        <v>0.29699999999999999</v>
      </c>
      <c r="W798" s="10" cm="1">
        <f t="array" ref="W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8" s="42">
        <v>0</v>
      </c>
      <c r="Y798" s="35">
        <v>2</v>
      </c>
      <c r="Z798" s="19" t="s">
        <v>872</v>
      </c>
      <c r="AA798" s="19" t="s">
        <v>868</v>
      </c>
      <c r="AB798" s="34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8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4" t="b">
        <v>0</v>
      </c>
      <c r="AH798" s="9" t="b">
        <v>0</v>
      </c>
    </row>
    <row r="799" spans="1:53">
      <c r="A799" s="2" t="s">
        <v>2896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t="s">
        <v>1737</v>
      </c>
      <c r="F799" t="str">
        <f>_xlfn.XLOOKUP(PROPERTIES[[#This Row],[COUNTRY]],COUNTRIES[COUNTRY_DESCRIPTION],COUNTRIES[COUNTRY_LABEL],"")</f>
        <v>CD</v>
      </c>
      <c r="G799" t="str" cm="1">
        <f t="array" ref="G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9" t="s">
        <v>19</v>
      </c>
      <c r="I799">
        <v>0</v>
      </c>
      <c r="J799">
        <v>6</v>
      </c>
      <c r="K799">
        <v>6</v>
      </c>
      <c r="L799" t="str" cm="1">
        <f t="array" ref="L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9">
        <f>_xlfn.XLOOKUP("LOADINGSPEEDDEF_"&amp;PROPERTIES[[#This Row],[LOADINGSPEED]],LOADINGSPEEDDEF[TYPE],LOADINGSPEEDDEF[SPEED])</f>
        <v>20</v>
      </c>
      <c r="N799" cm="1">
        <f t="array" ref="N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9">
        <f>IF(ISNUMBER(SEARCH("passenger",PROPERTIES[[#This Row],[CARGODEF]])),1,0)</f>
        <v>0</v>
      </c>
      <c r="P799" s="29">
        <v>60</v>
      </c>
      <c r="Q799">
        <v>2200</v>
      </c>
      <c r="R799">
        <v>70</v>
      </c>
      <c r="S799" s="26">
        <v>137</v>
      </c>
      <c r="T799" s="25">
        <f>IFERROR(PROPERTIES[[#This Row],[TE_STARTING_KN]]/(PROPERTIES[[#This Row],[WEIGHT]]*9.81),0)</f>
        <v>0.2327556914712878</v>
      </c>
      <c r="U799" s="26">
        <v>0</v>
      </c>
      <c r="V799" s="22">
        <f>ROUND(IF(IFERROR(PROPERTIES[[#This Row],[TE_COEFFICIENT_CALC]],0)=0,PROPERTIES[[#This Row],[TE_COEFFICIENT_MANUAL]],PROPERTIES[[#This Row],[TE_COEFFICIENT_CALC]]),3)</f>
        <v>0.23300000000000001</v>
      </c>
      <c r="W799" s="10" cm="1">
        <f t="array" ref="W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9" s="32">
        <v>0</v>
      </c>
      <c r="Y799" s="8">
        <v>0</v>
      </c>
      <c r="Z799" s="8" t="s">
        <v>872</v>
      </c>
      <c r="AA799" s="9" t="s">
        <v>868</v>
      </c>
      <c r="AB799" s="9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8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4" t="b">
        <v>0</v>
      </c>
      <c r="AH799" s="9" t="b">
        <v>0</v>
      </c>
    </row>
    <row r="800" spans="1:53">
      <c r="A800" s="2" t="s">
        <v>2898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t="s">
        <v>1739</v>
      </c>
      <c r="F800" t="str">
        <f>_xlfn.XLOOKUP(PROPERTIES[[#This Row],[COUNTRY]],COUNTRIES[COUNTRY_DESCRIPTION],COUNTRIES[COUNTRY_LABEL],"")</f>
        <v>CG</v>
      </c>
      <c r="G800" t="str" cm="1">
        <f t="array" ref="G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0" t="s">
        <v>19</v>
      </c>
      <c r="I800">
        <v>0</v>
      </c>
      <c r="J800">
        <v>8</v>
      </c>
      <c r="K800">
        <v>8</v>
      </c>
      <c r="L800" t="str" cm="1">
        <f t="array" ref="L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0">
        <f>_xlfn.XLOOKUP("LOADINGSPEEDDEF_"&amp;PROPERTIES[[#This Row],[LOADINGSPEED]],LOADINGSPEEDDEF[TYPE],LOADINGSPEEDDEF[SPEED])</f>
        <v>20</v>
      </c>
      <c r="N800" cm="1">
        <f t="array" ref="N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0">
        <f>IF(ISNUMBER(SEARCH("passenger",PROPERTIES[[#This Row],[CARGODEF]])),1,0)</f>
        <v>0</v>
      </c>
      <c r="P800" s="29">
        <v>130</v>
      </c>
      <c r="Q800">
        <v>3600</v>
      </c>
      <c r="R800">
        <v>80</v>
      </c>
      <c r="S800" s="26">
        <v>380</v>
      </c>
      <c r="T800" s="25">
        <f>IFERROR(PROPERTIES[[#This Row],[TE_STARTING_KN]]/(PROPERTIES[[#This Row],[WEIGHT]]*9.81),0)</f>
        <v>0.29796910530855486</v>
      </c>
      <c r="U800" s="25">
        <v>0</v>
      </c>
      <c r="V800" s="22">
        <f>ROUND(IF(IFERROR(PROPERTIES[[#This Row],[TE_COEFFICIENT_CALC]],0)=0,PROPERTIES[[#This Row],[TE_COEFFICIENT_MANUAL]],PROPERTIES[[#This Row],[TE_COEFFICIENT_CALC]]),3)</f>
        <v>0.29799999999999999</v>
      </c>
      <c r="W800" s="10" cm="1">
        <f t="array" ref="W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0" s="32">
        <v>0</v>
      </c>
      <c r="Y800" s="8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8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9" t="b">
        <v>0</v>
      </c>
    </row>
    <row r="801" spans="1:34">
      <c r="A801" s="2" t="s">
        <v>2900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t="s">
        <v>1944</v>
      </c>
      <c r="F801" t="str">
        <f>_xlfn.XLOOKUP(PROPERTIES[[#This Row],[COUNTRY]],COUNTRIES[COUNTRY_DESCRIPTION],COUNTRIES[COUNTRY_LABEL],"")</f>
        <v>ZW</v>
      </c>
      <c r="G801" t="str" cm="1">
        <f t="array" ref="G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1" t="s">
        <v>19</v>
      </c>
      <c r="I801">
        <v>0</v>
      </c>
      <c r="J801">
        <v>8</v>
      </c>
      <c r="K801">
        <v>8</v>
      </c>
      <c r="L801" t="str" cm="1">
        <f t="array" ref="L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1">
        <f>_xlfn.XLOOKUP("LOADINGSPEEDDEF_"&amp;PROPERTIES[[#This Row],[LOADINGSPEED]],LOADINGSPEEDDEF[TYPE],LOADINGSPEEDDEF[SPEED])</f>
        <v>20</v>
      </c>
      <c r="N801" cm="1">
        <f t="array" ref="N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1">
        <f>IF(ISNUMBER(SEARCH("passenger",PROPERTIES[[#This Row],[CARGODEF]])),1,0)</f>
        <v>0</v>
      </c>
      <c r="P801" s="29">
        <v>120</v>
      </c>
      <c r="Q801">
        <v>2321</v>
      </c>
      <c r="R801">
        <v>100</v>
      </c>
      <c r="S801" s="26">
        <v>250</v>
      </c>
      <c r="T801" s="25">
        <f>IFERROR(PROPERTIES[[#This Row],[TE_STARTING_KN]]/(PROPERTIES[[#This Row],[WEIGHT]]*9.81),0)</f>
        <v>0.21236833163438668</v>
      </c>
      <c r="U801" s="25">
        <v>0</v>
      </c>
      <c r="V801" s="22">
        <f>ROUND(IF(IFERROR(PROPERTIES[[#This Row],[TE_COEFFICIENT_CALC]],0)=0,PROPERTIES[[#This Row],[TE_COEFFICIENT_MANUAL]],PROPERTIES[[#This Row],[TE_COEFFICIENT_CALC]]),3)</f>
        <v>0.21199999999999999</v>
      </c>
      <c r="W801" s="10" cm="1">
        <f t="array" ref="W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1" s="32">
        <v>0</v>
      </c>
      <c r="Y801" s="8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8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9" t="b">
        <v>0</v>
      </c>
    </row>
    <row r="802" spans="1:34">
      <c r="A802" s="2" t="s">
        <v>2901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t="s">
        <v>1741</v>
      </c>
      <c r="F802" t="str">
        <f>_xlfn.XLOOKUP(PROPERTIES[[#This Row],[COUNTRY]],COUNTRIES[COUNTRY_DESCRIPTION],COUNTRIES[COUNTRY_LABEL],"")</f>
        <v>CI</v>
      </c>
      <c r="G802" t="str" cm="1">
        <f t="array" ref="G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2" t="s">
        <v>19</v>
      </c>
      <c r="I802">
        <v>0</v>
      </c>
      <c r="J802">
        <v>7</v>
      </c>
      <c r="K802">
        <v>7</v>
      </c>
      <c r="L802" t="str" cm="1">
        <f t="array" ref="L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2">
        <f>_xlfn.XLOOKUP("LOADINGSPEEDDEF_"&amp;PROPERTIES[[#This Row],[LOADINGSPEED]],LOADINGSPEEDDEF[TYPE],LOADINGSPEEDDEF[SPEED])</f>
        <v>20</v>
      </c>
      <c r="N802" cm="1">
        <f t="array" ref="N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2">
        <f>IF(ISNUMBER(SEARCH("passenger",PROPERTIES[[#This Row],[CARGODEF]])),1,0)</f>
        <v>0</v>
      </c>
      <c r="P802" s="29">
        <v>95</v>
      </c>
      <c r="Q802">
        <v>2250</v>
      </c>
      <c r="R802">
        <v>105</v>
      </c>
      <c r="S802" s="26">
        <v>231</v>
      </c>
      <c r="T802" s="26">
        <f>IFERROR(PROPERTIES[[#This Row],[TE_STARTING_KN]]/(PROPERTIES[[#This Row],[WEIGHT]]*9.81),0)</f>
        <v>0.24786737485916624</v>
      </c>
      <c r="U802" s="26">
        <v>0</v>
      </c>
      <c r="V802" s="22">
        <f>ROUND(IF(IFERROR(PROPERTIES[[#This Row],[TE_COEFFICIENT_CALC]],0)=0,PROPERTIES[[#This Row],[TE_COEFFICIENT_MANUAL]],PROPERTIES[[#This Row],[TE_COEFFICIENT_CALC]]),3)</f>
        <v>0.248</v>
      </c>
      <c r="W802" s="10" cm="1">
        <f t="array" ref="W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2" s="32">
        <v>0</v>
      </c>
      <c r="Y802" s="8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8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9" t="b">
        <v>0</v>
      </c>
    </row>
    <row r="803" spans="1:34">
      <c r="A803" s="2" t="s">
        <v>2903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t="s">
        <v>1924</v>
      </c>
      <c r="F803" t="str">
        <f>_xlfn.XLOOKUP(PROPERTIES[[#This Row],[COUNTRY]],COUNTRIES[COUNTRY_DESCRIPTION],COUNTRIES[COUNTRY_LABEL],"")</f>
        <v>TZ</v>
      </c>
      <c r="G803" t="str" cm="1">
        <f t="array" ref="G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03" t="s">
        <v>19</v>
      </c>
      <c r="I803">
        <v>0</v>
      </c>
      <c r="J803">
        <v>8</v>
      </c>
      <c r="K803">
        <v>8</v>
      </c>
      <c r="L803" t="str" cm="1">
        <f t="array" ref="L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3">
        <f>_xlfn.XLOOKUP("LOADINGSPEEDDEF_"&amp;PROPERTIES[[#This Row],[LOADINGSPEED]],LOADINGSPEEDDEF[TYPE],LOADINGSPEEDDEF[SPEED])</f>
        <v>20</v>
      </c>
      <c r="N803" t="str" cm="1">
        <f t="array" ref="N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3">
        <f>IF(ISNUMBER(SEARCH("passenger",PROPERTIES[[#This Row],[CARGODEF]])),1,0)</f>
        <v>0</v>
      </c>
      <c r="P803" s="29">
        <v>86</v>
      </c>
      <c r="Q803">
        <v>6705</v>
      </c>
      <c r="R803">
        <v>160</v>
      </c>
      <c r="S803" s="26">
        <v>285</v>
      </c>
      <c r="T803" s="26">
        <f>IFERROR(PROPERTIES[[#This Row],[TE_STARTING_KN]]/(PROPERTIES[[#This Row],[WEIGHT]]*9.81),0)</f>
        <v>0.33781381125097787</v>
      </c>
      <c r="U803" s="26">
        <v>0</v>
      </c>
      <c r="V803" s="22">
        <f>ROUND(IF(IFERROR(PROPERTIES[[#This Row],[TE_COEFFICIENT_CALC]],0)=0,PROPERTIES[[#This Row],[TE_COEFFICIENT_MANUAL]],PROPERTIES[[#This Row],[TE_COEFFICIENT_CALC]]),3)</f>
        <v>0.33800000000000002</v>
      </c>
      <c r="W803" s="10" cm="1">
        <f t="array" ref="W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03" s="32">
        <v>0</v>
      </c>
      <c r="Y803" s="8">
        <v>0</v>
      </c>
      <c r="Z803" s="8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8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9" t="b">
        <v>0</v>
      </c>
    </row>
    <row r="804" spans="1:34">
      <c r="A804" s="2" t="s">
        <v>2907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t="s">
        <v>1928</v>
      </c>
      <c r="F804" t="str">
        <f>_xlfn.XLOOKUP(PROPERTIES[[#This Row],[COUNTRY]],COUNTRIES[COUNTRY_DESCRIPTION],COUNTRIES[COUNTRY_LABEL],"")</f>
        <v>US</v>
      </c>
      <c r="G804" t="str" cm="1">
        <f t="array" ref="G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04" t="s">
        <v>320</v>
      </c>
      <c r="I804">
        <v>48</v>
      </c>
      <c r="J804">
        <v>7</v>
      </c>
      <c r="K804">
        <v>7</v>
      </c>
      <c r="L804" t="str" cm="1">
        <f t="array" ref="L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04">
        <f>_xlfn.XLOOKUP("LOADINGSPEEDDEF_"&amp;PROPERTIES[[#This Row],[LOADINGSPEED]],LOADINGSPEEDDEF[TYPE],LOADINGSPEEDDEF[SPEED])</f>
        <v>120</v>
      </c>
      <c r="N804" cm="1">
        <f t="array" ref="N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4">
        <f>IF(ISNUMBER(SEARCH("passenger",PROPERTIES[[#This Row],[CARGODEF]])),1,0)</f>
        <v>1</v>
      </c>
      <c r="P804" s="29">
        <v>28</v>
      </c>
      <c r="Q804">
        <v>200</v>
      </c>
      <c r="R804">
        <v>60</v>
      </c>
      <c r="S804" s="26">
        <v>25</v>
      </c>
      <c r="T804" s="25">
        <f>IFERROR(PROPERTIES[[#This Row],[TE_STARTING_KN]]/(PROPERTIES[[#This Row],[WEIGHT]]*9.81),0)</f>
        <v>9.1014999271880004E-2</v>
      </c>
      <c r="U804" s="25">
        <v>0.5</v>
      </c>
      <c r="V804" s="22">
        <f>ROUND(IF(IFERROR(PROPERTIES[[#This Row],[TE_COEFFICIENT_CALC]],0)=0,PROPERTIES[[#This Row],[TE_COEFFICIENT_MANUAL]],PROPERTIES[[#This Row],[TE_COEFFICIENT_CALC]]),3)</f>
        <v>9.0999999999999998E-2</v>
      </c>
      <c r="W804" s="10" cm="1">
        <f t="array" ref="W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04" s="32">
        <v>48</v>
      </c>
      <c r="Y804" s="8">
        <v>7</v>
      </c>
      <c r="Z804" s="8" t="s">
        <v>874</v>
      </c>
      <c r="AA804" s="9" t="s">
        <v>868</v>
      </c>
      <c r="AB804" s="9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8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9" t="b">
        <v>0</v>
      </c>
      <c r="AH804" s="9" t="b">
        <v>0</v>
      </c>
    </row>
    <row r="805" spans="1:34">
      <c r="A805" s="2" t="s">
        <v>3029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5" t="str">
        <f>_xlfn.XLOOKUP(PROPERTIES[[#This Row],[COUNTRY]],COUNTRIES[COUNTRY_DESCRIPTION],COUNTRIES[COUNTRY_LABEL],"")</f>
        <v/>
      </c>
      <c r="G805" t="str" cm="1">
        <f t="array" ref="G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5" t="s">
        <v>320</v>
      </c>
      <c r="I805">
        <v>60</v>
      </c>
      <c r="J805">
        <v>8</v>
      </c>
      <c r="K805">
        <v>8</v>
      </c>
      <c r="L805" t="str" cm="1">
        <f t="array" ref="L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5">
        <f>_xlfn.XLOOKUP("LOADINGSPEEDDEF_"&amp;PROPERTIES[[#This Row],[LOADINGSPEED]],LOADINGSPEEDDEF[TYPE],LOADINGSPEEDDEF[SPEED])</f>
        <v>40</v>
      </c>
      <c r="N805" t="str" cm="1">
        <f t="array" ref="N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5">
        <f>IF(ISNUMBER(SEARCH("passenger",PROPERTIES[[#This Row],[CARGODEF]])),1,0)</f>
        <v>1</v>
      </c>
      <c r="P805" s="29">
        <v>40</v>
      </c>
      <c r="Q805">
        <v>0</v>
      </c>
      <c r="R805">
        <v>160</v>
      </c>
      <c r="S805" s="26">
        <v>0</v>
      </c>
      <c r="T805" s="26">
        <f>IFERROR(PROPERTIES[[#This Row],[TE_STARTING_KN]]/(PROPERTIES[[#This Row],[WEIGHT]]*9.81),0)</f>
        <v>0</v>
      </c>
      <c r="U805" s="26">
        <v>0.3</v>
      </c>
      <c r="V805" s="22">
        <f>ROUND(IF(IFERROR(PROPERTIES[[#This Row],[TE_COEFFICIENT_CALC]],0)=0,PROPERTIES[[#This Row],[TE_COEFFICIENT_MANUAL]],PROPERTIES[[#This Row],[TE_COEFFICIENT_CALC]]),3)</f>
        <v>0.3</v>
      </c>
      <c r="W805" s="10" cm="1">
        <f t="array" ref="W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5" s="32">
        <v>0</v>
      </c>
      <c r="Y805" s="8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8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9" t="b">
        <v>0</v>
      </c>
    </row>
    <row r="806" spans="1:34">
      <c r="A806" s="2" t="s">
        <v>3030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6" t="str">
        <f>_xlfn.XLOOKUP(PROPERTIES[[#This Row],[COUNTRY]],COUNTRIES[COUNTRY_DESCRIPTION],COUNTRIES[COUNTRY_LABEL],"")</f>
        <v/>
      </c>
      <c r="G806" t="str" cm="1">
        <f t="array" ref="G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6" t="s">
        <v>320</v>
      </c>
      <c r="I806">
        <v>50</v>
      </c>
      <c r="J806">
        <v>8</v>
      </c>
      <c r="K806">
        <v>8</v>
      </c>
      <c r="L806" t="str" cm="1">
        <f t="array" ref="L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6">
        <f>_xlfn.XLOOKUP("LOADINGSPEEDDEF_"&amp;PROPERTIES[[#This Row],[LOADINGSPEED]],LOADINGSPEEDDEF[TYPE],LOADINGSPEEDDEF[SPEED])</f>
        <v>40</v>
      </c>
      <c r="N806" cm="1">
        <f t="array" ref="N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6">
        <f>IF(ISNUMBER(SEARCH("passenger",PROPERTIES[[#This Row],[CARGODEF]])),1,0)</f>
        <v>1</v>
      </c>
      <c r="P806" s="29">
        <v>40</v>
      </c>
      <c r="Q806">
        <v>0</v>
      </c>
      <c r="R806">
        <v>140</v>
      </c>
      <c r="S806" s="26">
        <v>0</v>
      </c>
      <c r="T806" s="26">
        <f>IFERROR(PROPERTIES[[#This Row],[TE_STARTING_KN]]/(PROPERTIES[[#This Row],[WEIGHT]]*9.81),0)</f>
        <v>0</v>
      </c>
      <c r="U806" s="26">
        <v>0.3</v>
      </c>
      <c r="V806" s="22">
        <f>ROUND(IF(IFERROR(PROPERTIES[[#This Row],[TE_COEFFICIENT_CALC]],0)=0,PROPERTIES[[#This Row],[TE_COEFFICIENT_MANUAL]],PROPERTIES[[#This Row],[TE_COEFFICIENT_CALC]]),3)</f>
        <v>0.3</v>
      </c>
      <c r="W806" s="10" cm="1">
        <f t="array" ref="W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6" s="32">
        <v>0</v>
      </c>
      <c r="Y806" s="8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8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9" t="b">
        <v>0</v>
      </c>
    </row>
    <row r="807" spans="1:34">
      <c r="A807" s="2" t="s">
        <v>3003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7" t="str">
        <f>_xlfn.XLOOKUP(PROPERTIES[[#This Row],[COUNTRY]],COUNTRIES[COUNTRY_DESCRIPTION],COUNTRIES[COUNTRY_LABEL],"")</f>
        <v/>
      </c>
      <c r="G807" t="str" cm="1">
        <f t="array" ref="G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7" t="s">
        <v>3011</v>
      </c>
      <c r="I807">
        <v>20</v>
      </c>
      <c r="J807">
        <v>4</v>
      </c>
      <c r="K807">
        <v>4</v>
      </c>
      <c r="L807" t="str" cm="1">
        <f t="array" ref="L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7">
        <f>_xlfn.XLOOKUP("LOADINGSPEEDDEF_"&amp;PROPERTIES[[#This Row],[LOADINGSPEED]],LOADINGSPEEDDEF[TYPE],LOADINGSPEEDDEF[SPEED])</f>
        <v>20</v>
      </c>
      <c r="N807" cm="1">
        <f t="array" ref="N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7">
        <f>IF(ISNUMBER(SEARCH("passenger",PROPERTIES[[#This Row],[CARGODEF]])),1,0)</f>
        <v>0</v>
      </c>
      <c r="P807" s="29">
        <v>6</v>
      </c>
      <c r="Q807">
        <v>0</v>
      </c>
      <c r="R807">
        <v>55</v>
      </c>
      <c r="S807" s="26">
        <v>0</v>
      </c>
      <c r="T807" s="25">
        <f>IFERROR(PROPERTIES[[#This Row],[TE_STARTING_KN]]/(PROPERTIES[[#This Row],[WEIGHT]]*9.81),0)</f>
        <v>0</v>
      </c>
      <c r="U807" s="25">
        <v>0.3</v>
      </c>
      <c r="V807" s="22">
        <f>ROUND(IF(IFERROR(PROPERTIES[[#This Row],[TE_COEFFICIENT_CALC]],0)=0,PROPERTIES[[#This Row],[TE_COEFFICIENT_MANUAL]],PROPERTIES[[#This Row],[TE_COEFFICIENT_CALC]]),3)</f>
        <v>0.3</v>
      </c>
      <c r="W807" s="10" cm="1">
        <f t="array" ref="W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7" s="32">
        <v>0</v>
      </c>
      <c r="Y807" s="8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8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9" t="b">
        <v>0</v>
      </c>
    </row>
    <row r="808" spans="1:34">
      <c r="A808" s="2" t="s">
        <v>2998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8" t="str">
        <f>_xlfn.XLOOKUP(PROPERTIES[[#This Row],[COUNTRY]],COUNTRIES[COUNTRY_DESCRIPTION],COUNTRIES[COUNTRY_LABEL],"")</f>
        <v/>
      </c>
      <c r="G808" t="str" cm="1">
        <f t="array" ref="G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8" t="s">
        <v>3011</v>
      </c>
      <c r="I808">
        <v>25</v>
      </c>
      <c r="J808">
        <v>5</v>
      </c>
      <c r="K808">
        <v>5</v>
      </c>
      <c r="L808" t="str" cm="1">
        <f t="array" ref="L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8">
        <f>_xlfn.XLOOKUP("LOADINGSPEEDDEF_"&amp;PROPERTIES[[#This Row],[LOADINGSPEED]],LOADINGSPEEDDEF[TYPE],LOADINGSPEEDDEF[SPEED])</f>
        <v>20</v>
      </c>
      <c r="N808" cm="1">
        <f t="array" ref="N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8">
        <f>IF(ISNUMBER(SEARCH("passenger",PROPERTIES[[#This Row],[CARGODEF]])),1,0)</f>
        <v>0</v>
      </c>
      <c r="P808" s="29">
        <v>12</v>
      </c>
      <c r="Q808">
        <v>0</v>
      </c>
      <c r="R808">
        <v>90</v>
      </c>
      <c r="S808" s="26">
        <v>0</v>
      </c>
      <c r="T808" s="25">
        <f>IFERROR(PROPERTIES[[#This Row],[TE_STARTING_KN]]/(PROPERTIES[[#This Row],[WEIGHT]]*9.81),0)</f>
        <v>0</v>
      </c>
      <c r="U808" s="25">
        <v>0.3</v>
      </c>
      <c r="V808" s="22">
        <f>ROUND(IF(IFERROR(PROPERTIES[[#This Row],[TE_COEFFICIENT_CALC]],0)=0,PROPERTIES[[#This Row],[TE_COEFFICIENT_MANUAL]],PROPERTIES[[#This Row],[TE_COEFFICIENT_CALC]]),3)</f>
        <v>0.3</v>
      </c>
      <c r="W808" s="10" cm="1">
        <f t="array" ref="W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8" s="32">
        <v>0</v>
      </c>
      <c r="Y808" s="8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8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9" t="b">
        <v>0</v>
      </c>
    </row>
    <row r="809" spans="1:34">
      <c r="A809" s="2" t="s">
        <v>2999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9" t="str">
        <f>_xlfn.XLOOKUP(PROPERTIES[[#This Row],[COUNTRY]],COUNTRIES[COUNTRY_DESCRIPTION],COUNTRIES[COUNTRY_LABEL],"")</f>
        <v/>
      </c>
      <c r="G809" t="str" cm="1">
        <f t="array" ref="G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9" t="s">
        <v>3011</v>
      </c>
      <c r="I809">
        <v>40</v>
      </c>
      <c r="J809">
        <v>6</v>
      </c>
      <c r="K809">
        <v>6</v>
      </c>
      <c r="L809" t="str" cm="1">
        <f t="array" ref="L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9">
        <f>_xlfn.XLOOKUP("LOADINGSPEEDDEF_"&amp;PROPERTIES[[#This Row],[LOADINGSPEED]],LOADINGSPEEDDEF[TYPE],LOADINGSPEEDDEF[SPEED])</f>
        <v>20</v>
      </c>
      <c r="N809" cm="1">
        <f t="array" ref="N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9">
        <f>IF(ISNUMBER(SEARCH("passenger",PROPERTIES[[#This Row],[CARGODEF]])),1,0)</f>
        <v>0</v>
      </c>
      <c r="P809" s="29">
        <v>23</v>
      </c>
      <c r="Q809">
        <v>0</v>
      </c>
      <c r="R809">
        <v>100</v>
      </c>
      <c r="S809" s="26">
        <v>0</v>
      </c>
      <c r="T809" s="25">
        <f>IFERROR(PROPERTIES[[#This Row],[TE_STARTING_KN]]/(PROPERTIES[[#This Row],[WEIGHT]]*9.81),0)</f>
        <v>0</v>
      </c>
      <c r="U809" s="25">
        <v>0.3</v>
      </c>
      <c r="V809" s="22">
        <f>ROUND(IF(IFERROR(PROPERTIES[[#This Row],[TE_COEFFICIENT_CALC]],0)=0,PROPERTIES[[#This Row],[TE_COEFFICIENT_MANUAL]],PROPERTIES[[#This Row],[TE_COEFFICIENT_CALC]]),3)</f>
        <v>0.3</v>
      </c>
      <c r="W809" s="10" cm="1">
        <f t="array" ref="W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9" s="32">
        <v>0</v>
      </c>
      <c r="Y809" s="8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8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9" t="b">
        <v>0</v>
      </c>
    </row>
    <row r="810" spans="1:34">
      <c r="A810" s="2" t="s">
        <v>3000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0" t="str">
        <f>_xlfn.XLOOKUP(PROPERTIES[[#This Row],[COUNTRY]],COUNTRIES[COUNTRY_DESCRIPTION],COUNTRIES[COUNTRY_LABEL],"")</f>
        <v/>
      </c>
      <c r="G810" t="str" cm="1">
        <f t="array" ref="G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0" t="s">
        <v>3011</v>
      </c>
      <c r="I810">
        <v>42</v>
      </c>
      <c r="J810">
        <v>7</v>
      </c>
      <c r="K810">
        <v>7</v>
      </c>
      <c r="L810" t="str" cm="1">
        <f t="array" ref="L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0">
        <f>_xlfn.XLOOKUP("LOADINGSPEEDDEF_"&amp;PROPERTIES[[#This Row],[LOADINGSPEED]],LOADINGSPEEDDEF[TYPE],LOADINGSPEEDDEF[SPEED])</f>
        <v>20</v>
      </c>
      <c r="N810" cm="1">
        <f t="array" ref="N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10">
        <f>IF(ISNUMBER(SEARCH("passenger",PROPERTIES[[#This Row],[CARGODEF]])),1,0)</f>
        <v>0</v>
      </c>
      <c r="P810" s="29">
        <v>30</v>
      </c>
      <c r="Q810">
        <v>0</v>
      </c>
      <c r="R810">
        <v>120</v>
      </c>
      <c r="S810" s="26">
        <v>0</v>
      </c>
      <c r="T810" s="25">
        <f>IFERROR(PROPERTIES[[#This Row],[TE_STARTING_KN]]/(PROPERTIES[[#This Row],[WEIGHT]]*9.81),0)</f>
        <v>0</v>
      </c>
      <c r="U810" s="25">
        <v>0.3</v>
      </c>
      <c r="V810" s="22">
        <f>ROUND(IF(IFERROR(PROPERTIES[[#This Row],[TE_COEFFICIENT_CALC]],0)=0,PROPERTIES[[#This Row],[TE_COEFFICIENT_MANUAL]],PROPERTIES[[#This Row],[TE_COEFFICIENT_CALC]]),3)</f>
        <v>0.3</v>
      </c>
      <c r="W810" s="10" cm="1">
        <f t="array" ref="W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0" s="32">
        <v>0</v>
      </c>
      <c r="Y810" s="8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8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9" t="b">
        <v>0</v>
      </c>
    </row>
    <row r="811" spans="1:34">
      <c r="A811" s="2" t="s">
        <v>3001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1" t="str">
        <f>_xlfn.XLOOKUP(PROPERTIES[[#This Row],[COUNTRY]],COUNTRIES[COUNTRY_DESCRIPTION],COUNTRIES[COUNTRY_LABEL],"")</f>
        <v/>
      </c>
      <c r="G811" t="str" cm="1">
        <f t="array" ref="G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1" t="s">
        <v>3011</v>
      </c>
      <c r="I811">
        <v>63</v>
      </c>
      <c r="J811">
        <v>8</v>
      </c>
      <c r="K811">
        <v>8</v>
      </c>
      <c r="L811" t="str" cm="1">
        <f t="array" ref="L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1">
        <f>_xlfn.XLOOKUP("LOADINGSPEEDDEF_"&amp;PROPERTIES[[#This Row],[LOADINGSPEED]],LOADINGSPEEDDEF[TYPE],LOADINGSPEEDDEF[SPEED])</f>
        <v>20</v>
      </c>
      <c r="N811" t="str" cm="1">
        <f t="array" ref="N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1">
        <f>IF(ISNUMBER(SEARCH("passenger",PROPERTIES[[#This Row],[CARGODEF]])),1,0)</f>
        <v>0</v>
      </c>
      <c r="P811" s="29">
        <v>27</v>
      </c>
      <c r="Q811">
        <v>0</v>
      </c>
      <c r="R811">
        <v>120</v>
      </c>
      <c r="S811" s="26">
        <v>0</v>
      </c>
      <c r="T811" s="25">
        <f>IFERROR(PROPERTIES[[#This Row],[TE_STARTING_KN]]/(PROPERTIES[[#This Row],[WEIGHT]]*9.81),0)</f>
        <v>0</v>
      </c>
      <c r="U811" s="25">
        <v>0.3</v>
      </c>
      <c r="V811" s="22">
        <f>ROUND(IF(IFERROR(PROPERTIES[[#This Row],[TE_COEFFICIENT_CALC]],0)=0,PROPERTIES[[#This Row],[TE_COEFFICIENT_MANUAL]],PROPERTIES[[#This Row],[TE_COEFFICIENT_CALC]]),3)</f>
        <v>0.3</v>
      </c>
      <c r="W811" s="10" cm="1">
        <f t="array" ref="W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1" s="32">
        <v>0</v>
      </c>
      <c r="Y811" s="8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8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9" t="b">
        <v>0</v>
      </c>
    </row>
    <row r="812" spans="1:34">
      <c r="A812" s="2" t="s">
        <v>3002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2" t="str">
        <f>_xlfn.XLOOKUP(PROPERTIES[[#This Row],[COUNTRY]],COUNTRIES[COUNTRY_DESCRIPTION],COUNTRIES[COUNTRY_LABEL],"")</f>
        <v/>
      </c>
      <c r="G812" t="str" cm="1">
        <f t="array" ref="G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2" t="s">
        <v>3011</v>
      </c>
      <c r="I812">
        <v>74</v>
      </c>
      <c r="J812">
        <v>8</v>
      </c>
      <c r="K812">
        <v>8</v>
      </c>
      <c r="L812" t="str" cm="1">
        <f t="array" ref="L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2">
        <f>_xlfn.XLOOKUP("LOADINGSPEEDDEF_"&amp;PROPERTIES[[#This Row],[LOADINGSPEED]],LOADINGSPEEDDEF[TYPE],LOADINGSPEEDDEF[SPEED])</f>
        <v>20</v>
      </c>
      <c r="N812" t="str" cm="1">
        <f t="array" ref="N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2">
        <f>IF(ISNUMBER(SEARCH("passenger",PROPERTIES[[#This Row],[CARGODEF]])),1,0)</f>
        <v>0</v>
      </c>
      <c r="P812" s="29">
        <v>27</v>
      </c>
      <c r="Q812">
        <v>0</v>
      </c>
      <c r="R812">
        <v>160</v>
      </c>
      <c r="S812" s="26">
        <v>0</v>
      </c>
      <c r="T812" s="25">
        <f>IFERROR(PROPERTIES[[#This Row],[TE_STARTING_KN]]/(PROPERTIES[[#This Row],[WEIGHT]]*9.81),0)</f>
        <v>0</v>
      </c>
      <c r="U812" s="25">
        <v>0.3</v>
      </c>
      <c r="V812" s="22">
        <f>ROUND(IF(IFERROR(PROPERTIES[[#This Row],[TE_COEFFICIENT_CALC]],0)=0,PROPERTIES[[#This Row],[TE_COEFFICIENT_MANUAL]],PROPERTIES[[#This Row],[TE_COEFFICIENT_CALC]]),3)</f>
        <v>0.3</v>
      </c>
      <c r="W812" s="10" cm="1">
        <f t="array" ref="W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2" s="32">
        <v>0</v>
      </c>
      <c r="Y812" s="8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8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9" t="b">
        <v>0</v>
      </c>
    </row>
    <row r="813" spans="1:34">
      <c r="A813" s="2" t="s">
        <v>3037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3" t="str">
        <f>_xlfn.XLOOKUP(PROPERTIES[[#This Row],[COUNTRY]],COUNTRIES[COUNTRY_DESCRIPTION],COUNTRIES[COUNTRY_LABEL],"")</f>
        <v/>
      </c>
      <c r="G813" t="str" cm="1">
        <f t="array" ref="G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3" t="s">
        <v>3011</v>
      </c>
      <c r="I813">
        <v>74</v>
      </c>
      <c r="J813">
        <v>8</v>
      </c>
      <c r="K813">
        <v>8</v>
      </c>
      <c r="L813" t="str" cm="1">
        <f t="array" ref="L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3">
        <f>_xlfn.XLOOKUP("LOADINGSPEEDDEF_"&amp;PROPERTIES[[#This Row],[LOADINGSPEED]],LOADINGSPEEDDEF[TYPE],LOADINGSPEEDDEF[SPEED])</f>
        <v>20</v>
      </c>
      <c r="N813" t="str" cm="1">
        <f t="array" ref="N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3">
        <f>IF(ISNUMBER(SEARCH("passenger",PROPERTIES[[#This Row],[CARGODEF]])),1,0)</f>
        <v>0</v>
      </c>
      <c r="P813" s="29">
        <v>27</v>
      </c>
      <c r="Q813">
        <v>0</v>
      </c>
      <c r="R813">
        <v>160</v>
      </c>
      <c r="S813" s="26">
        <v>0</v>
      </c>
      <c r="T813" s="25">
        <f>IFERROR(PROPERTIES[[#This Row],[TE_STARTING_KN]]/(PROPERTIES[[#This Row],[WEIGHT]]*9.81),0)</f>
        <v>0</v>
      </c>
      <c r="U813" s="25">
        <v>0.3</v>
      </c>
      <c r="V813" s="22">
        <f>ROUND(IF(IFERROR(PROPERTIES[[#This Row],[TE_COEFFICIENT_CALC]],0)=0,PROPERTIES[[#This Row],[TE_COEFFICIENT_MANUAL]],PROPERTIES[[#This Row],[TE_COEFFICIENT_CALC]]),3)</f>
        <v>0.3</v>
      </c>
      <c r="W813" s="10" cm="1">
        <f t="array" ref="W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3" s="32">
        <v>0</v>
      </c>
      <c r="Y813" s="8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8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9" t="b">
        <v>0</v>
      </c>
    </row>
    <row r="814" spans="1:34">
      <c r="A814" s="2" t="s">
        <v>3014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t="s">
        <v>1796</v>
      </c>
      <c r="F814" t="str">
        <f>_xlfn.XLOOKUP(PROPERTIES[[#This Row],[COUNTRY]],COUNTRIES[COUNTRY_DESCRIPTION],COUNTRIES[COUNTRY_LABEL],"")</f>
        <v>HU</v>
      </c>
      <c r="G814" t="str" cm="1">
        <f t="array" ref="G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14" t="s">
        <v>19</v>
      </c>
      <c r="I814">
        <v>0</v>
      </c>
      <c r="J814">
        <v>8</v>
      </c>
      <c r="K814">
        <v>10</v>
      </c>
      <c r="L814" t="str" cm="1">
        <f t="array" ref="L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4">
        <f>_xlfn.XLOOKUP("LOADINGSPEEDDEF_"&amp;PROPERTIES[[#This Row],[LOADINGSPEED]],LOADINGSPEEDDEF[TYPE],LOADINGSPEEDDEF[SPEED])</f>
        <v>20</v>
      </c>
      <c r="N814" cm="1">
        <f t="array" ref="N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4">
        <f>IF(ISNUMBER(SEARCH("passenger",PROPERTIES[[#This Row],[CARGODEF]])),1,0)</f>
        <v>0</v>
      </c>
      <c r="P814" s="29">
        <v>118</v>
      </c>
      <c r="Q814">
        <v>4800</v>
      </c>
      <c r="R814">
        <v>130</v>
      </c>
      <c r="S814" s="26">
        <v>415</v>
      </c>
      <c r="T814" s="25">
        <f>IFERROR(PROPERTIES[[#This Row],[TE_STARTING_KN]]/(PROPERTIES[[#This Row],[WEIGHT]]*9.81),0)</f>
        <v>0.35850653950482897</v>
      </c>
      <c r="U814" s="25">
        <v>0</v>
      </c>
      <c r="V814" s="22">
        <f>ROUND(IF(IFERROR(PROPERTIES[[#This Row],[TE_COEFFICIENT_CALC]],0)=0,PROPERTIES[[#This Row],[TE_COEFFICIENT_MANUAL]],PROPERTIES[[#This Row],[TE_COEFFICIENT_CALC]]),3)</f>
        <v>0.35899999999999999</v>
      </c>
      <c r="W814" s="10" cm="1">
        <f t="array" ref="W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14" s="32">
        <v>0</v>
      </c>
      <c r="Y814" s="8">
        <v>2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8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9" t="b">
        <v>0</v>
      </c>
    </row>
    <row r="815" spans="1:34">
      <c r="A815" s="2" t="s">
        <v>3031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t="s">
        <v>1773</v>
      </c>
      <c r="F815" t="str">
        <f>_xlfn.XLOOKUP(PROPERTIES[[#This Row],[COUNTRY]],COUNTRIES[COUNTRY_DESCRIPTION],COUNTRIES[COUNTRY_LABEL],"")</f>
        <v>GB</v>
      </c>
      <c r="G815" t="str" cm="1">
        <f t="array" ref="G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5" t="s">
        <v>320</v>
      </c>
      <c r="I815">
        <f>INT(1047/8)</f>
        <v>130</v>
      </c>
      <c r="J815">
        <v>8</v>
      </c>
      <c r="K815">
        <v>8</v>
      </c>
      <c r="L815" t="str" cm="1">
        <f t="array" ref="L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5">
        <f>_xlfn.XLOOKUP("LOADINGSPEEDDEF_"&amp;PROPERTIES[[#This Row],[LOADINGSPEED]],LOADINGSPEEDDEF[TYPE],LOADINGSPEEDDEF[SPEED])</f>
        <v>120</v>
      </c>
      <c r="N815" t="str" cm="1">
        <f t="array" ref="N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5">
        <f>IF(ISNUMBER(SEARCH("passenger",PROPERTIES[[#This Row],[CARGODEF]])),1,0)</f>
        <v>1</v>
      </c>
      <c r="P815" s="29">
        <v>22.5</v>
      </c>
      <c r="Q815">
        <v>1700</v>
      </c>
      <c r="R815">
        <v>100</v>
      </c>
      <c r="S815" s="26">
        <v>0</v>
      </c>
      <c r="T815" s="25">
        <f>IFERROR(PROPERTIES[[#This Row],[TE_STARTING_KN]]/(PROPERTIES[[#This Row],[WEIGHT]]*9.81),0)</f>
        <v>0</v>
      </c>
      <c r="U815" s="25">
        <v>0.3</v>
      </c>
      <c r="V815" s="22">
        <f>ROUND(IF(IFERROR(PROPERTIES[[#This Row],[TE_COEFFICIENT_CALC]],0)=0,PROPERTIES[[#This Row],[TE_COEFFICIENT_MANUAL]],PROPERTIES[[#This Row],[TE_COEFFICIENT_CALC]]),3)</f>
        <v>0.3</v>
      </c>
      <c r="W815" s="10" cm="1">
        <f t="array" ref="W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5" s="32">
        <v>125</v>
      </c>
      <c r="Y815" s="8">
        <v>8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8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9" t="b">
        <v>0</v>
      </c>
    </row>
    <row r="816" spans="1:34">
      <c r="A816" s="2" t="s">
        <v>3034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t="s">
        <v>1773</v>
      </c>
      <c r="F816" t="str">
        <f>_xlfn.XLOOKUP(PROPERTIES[[#This Row],[COUNTRY]],COUNTRIES[COUNTRY_DESCRIPTION],COUNTRIES[COUNTRY_LABEL],"")</f>
        <v>GB</v>
      </c>
      <c r="G816" t="str" cm="1">
        <f t="array" ref="G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6" t="s">
        <v>320</v>
      </c>
      <c r="I816">
        <f>INT(1350/8)</f>
        <v>168</v>
      </c>
      <c r="J816">
        <v>8</v>
      </c>
      <c r="K816">
        <v>8</v>
      </c>
      <c r="L816" t="str" cm="1">
        <f t="array" ref="L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6">
        <f>_xlfn.XLOOKUP("LOADINGSPEEDDEF_"&amp;PROPERTIES[[#This Row],[LOADINGSPEED]],LOADINGSPEEDDEF[TYPE],LOADINGSPEEDDEF[SPEED])</f>
        <v>120</v>
      </c>
      <c r="N816" t="str" cm="1">
        <f t="array" ref="N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6">
        <f>IF(ISNUMBER(SEARCH("passenger",PROPERTIES[[#This Row],[CARGODEF]])),1,0)</f>
        <v>1</v>
      </c>
      <c r="P816" s="29">
        <f>INT(238/8)</f>
        <v>29</v>
      </c>
      <c r="Q816">
        <v>2000</v>
      </c>
      <c r="R816">
        <v>100</v>
      </c>
      <c r="S816" s="26">
        <v>0</v>
      </c>
      <c r="T816" s="25">
        <f>IFERROR(PROPERTIES[[#This Row],[TE_STARTING_KN]]/(PROPERTIES[[#This Row],[WEIGHT]]*9.81),0)</f>
        <v>0</v>
      </c>
      <c r="U816" s="25">
        <v>0.3</v>
      </c>
      <c r="V816" s="22">
        <f>ROUND(IF(IFERROR(PROPERTIES[[#This Row],[TE_COEFFICIENT_CALC]],0)=0,PROPERTIES[[#This Row],[TE_COEFFICIENT_MANUAL]],PROPERTIES[[#This Row],[TE_COEFFICIENT_CALC]]),3)</f>
        <v>0.3</v>
      </c>
      <c r="W816" s="10" cm="1">
        <f t="array" ref="W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6" s="32">
        <v>160</v>
      </c>
      <c r="Y816" s="8">
        <v>8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8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9" t="b">
        <v>0</v>
      </c>
    </row>
    <row r="817" spans="1:34">
      <c r="A817" s="2" t="s">
        <v>3038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t="s">
        <v>1773</v>
      </c>
      <c r="F817" t="str">
        <f>_xlfn.XLOOKUP(PROPERTIES[[#This Row],[COUNTRY]],COUNTRIES[COUNTRY_DESCRIPTION],COUNTRIES[COUNTRY_LABEL],"")</f>
        <v>GB</v>
      </c>
      <c r="G817" t="str" cm="1">
        <f t="array" ref="G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7" t="s">
        <v>320</v>
      </c>
      <c r="I817">
        <f>INT(851/7)</f>
        <v>121</v>
      </c>
      <c r="J817">
        <v>7</v>
      </c>
      <c r="K817">
        <v>7</v>
      </c>
      <c r="L817" t="str" cm="1">
        <f t="array" ref="L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7">
        <f>_xlfn.XLOOKUP("LOADINGSPEEDDEF_"&amp;PROPERTIES[[#This Row],[LOADINGSPEED]],LOADINGSPEEDDEF[TYPE],LOADINGSPEEDDEF[SPEED])</f>
        <v>120</v>
      </c>
      <c r="N817" t="str" cm="1">
        <f t="array" ref="N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7">
        <f>IF(ISNUMBER(SEARCH("passenger",PROPERTIES[[#This Row],[CARGODEF]])),1,0)</f>
        <v>1</v>
      </c>
      <c r="P817" s="29">
        <f>INT(238/8)</f>
        <v>29</v>
      </c>
      <c r="Q817">
        <v>1400</v>
      </c>
      <c r="R817">
        <v>72</v>
      </c>
      <c r="S817" s="26">
        <v>0</v>
      </c>
      <c r="T817" s="25">
        <f>IFERROR(PROPERTIES[[#This Row],[TE_STARTING_KN]]/(PROPERTIES[[#This Row],[WEIGHT]]*9.81),0)</f>
        <v>0</v>
      </c>
      <c r="U817" s="25">
        <v>0.25</v>
      </c>
      <c r="V817" s="22">
        <f>ROUND(IF(IFERROR(PROPERTIES[[#This Row],[TE_COEFFICIENT_CALC]],0)=0,PROPERTIES[[#This Row],[TE_COEFFICIENT_MANUAL]],PROPERTIES[[#This Row],[TE_COEFFICIENT_CALC]]),3)</f>
        <v>0.25</v>
      </c>
      <c r="W817" s="10" cm="1">
        <f t="array" ref="W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7" s="32">
        <v>120</v>
      </c>
      <c r="Y817" s="8">
        <v>7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8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9" t="b">
        <v>0</v>
      </c>
    </row>
    <row r="818" spans="1:34">
      <c r="A818" s="2" t="s">
        <v>3041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t="s">
        <v>1773</v>
      </c>
      <c r="F818" t="str">
        <f>_xlfn.XLOOKUP(PROPERTIES[[#This Row],[COUNTRY]],COUNTRIES[COUNTRY_DESCRIPTION],COUNTRIES[COUNTRY_LABEL],"")</f>
        <v>GB</v>
      </c>
      <c r="G818" t="str" cm="1">
        <f t="array" ref="G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8" t="s">
        <v>320</v>
      </c>
      <c r="I818">
        <v>105</v>
      </c>
      <c r="J818">
        <v>7</v>
      </c>
      <c r="K818">
        <v>7</v>
      </c>
      <c r="L818" t="str" cm="1">
        <f t="array" ref="L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8">
        <f>_xlfn.XLOOKUP("LOADINGSPEEDDEF_"&amp;PROPERTIES[[#This Row],[LOADINGSPEED]],LOADINGSPEEDDEF[TYPE],LOADINGSPEEDDEF[SPEED])</f>
        <v>120</v>
      </c>
      <c r="N818" cm="1">
        <f t="array" ref="N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8">
        <f>IF(ISNUMBER(SEARCH("passenger",PROPERTIES[[#This Row],[CARGODEF]])),1,0)</f>
        <v>1</v>
      </c>
      <c r="P818" s="29">
        <v>27</v>
      </c>
      <c r="Q818">
        <v>700</v>
      </c>
      <c r="R818">
        <v>72</v>
      </c>
      <c r="S818" s="26">
        <v>0</v>
      </c>
      <c r="T818" s="25">
        <f>IFERROR(PROPERTIES[[#This Row],[TE_STARTING_KN]]/(PROPERTIES[[#This Row],[WEIGHT]]*9.81),0)</f>
        <v>0</v>
      </c>
      <c r="U818" s="25">
        <v>0.22</v>
      </c>
      <c r="V818" s="22">
        <f>ROUND(IF(IFERROR(PROPERTIES[[#This Row],[TE_COEFFICIENT_CALC]],0)=0,PROPERTIES[[#This Row],[TE_COEFFICIENT_MANUAL]],PROPERTIES[[#This Row],[TE_COEFFICIENT_CALC]]),3)</f>
        <v>0.22</v>
      </c>
      <c r="W818" s="10" cm="1">
        <f t="array" ref="W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8" s="32">
        <v>120</v>
      </c>
      <c r="Y818" s="8">
        <v>7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8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9" t="b">
        <v>0</v>
      </c>
    </row>
    <row r="819" spans="1:34">
      <c r="A819" s="2" t="s">
        <v>3054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t="s">
        <v>1894</v>
      </c>
      <c r="F819" t="str">
        <f>_xlfn.XLOOKUP(PROPERTIES[[#This Row],[COUNTRY]],COUNTRIES[COUNTRY_DESCRIPTION],COUNTRIES[COUNTRY_LABEL],"")</f>
        <v>SG</v>
      </c>
      <c r="G819" t="str" cm="1">
        <f t="array" ref="G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9" t="s">
        <v>320</v>
      </c>
      <c r="I819">
        <v>160</v>
      </c>
      <c r="J819">
        <v>8</v>
      </c>
      <c r="K819">
        <v>8</v>
      </c>
      <c r="L819" t="str" cm="1">
        <f t="array" ref="L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9">
        <f>_xlfn.XLOOKUP("LOADINGSPEEDDEF_"&amp;PROPERTIES[[#This Row],[LOADINGSPEED]],LOADINGSPEEDDEF[TYPE],LOADINGSPEEDDEF[SPEED])</f>
        <v>120</v>
      </c>
      <c r="N819" t="str" cm="1">
        <f t="array" ref="N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9">
        <f>IF(ISNUMBER(SEARCH("passenger",PROPERTIES[[#This Row],[CARGODEF]])),1,0)</f>
        <v>1</v>
      </c>
      <c r="P819" s="29">
        <v>35</v>
      </c>
      <c r="Q819">
        <v>1000</v>
      </c>
      <c r="R819">
        <v>90</v>
      </c>
      <c r="S819" s="26">
        <v>0</v>
      </c>
      <c r="T819" s="25">
        <f>IFERROR(PROPERTIES[[#This Row],[TE_STARTING_KN]]/(PROPERTIES[[#This Row],[WEIGHT]]*9.81),0)</f>
        <v>0</v>
      </c>
      <c r="U819" s="25">
        <v>0.3</v>
      </c>
      <c r="V819" s="22">
        <f>ROUND(IF(IFERROR(PROPERTIES[[#This Row],[TE_COEFFICIENT_CALC]],0)=0,PROPERTIES[[#This Row],[TE_COEFFICIENT_MANUAL]],PROPERTIES[[#This Row],[TE_COEFFICIENT_CALC]]),3)</f>
        <v>0.3</v>
      </c>
      <c r="W819" s="10" cm="1">
        <f t="array" ref="W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9" s="32">
        <v>160</v>
      </c>
      <c r="Y819" s="8">
        <v>8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8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9" t="b">
        <v>0</v>
      </c>
    </row>
    <row r="820" spans="1:34">
      <c r="A820" s="2" t="s">
        <v>3055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t="s">
        <v>1894</v>
      </c>
      <c r="F820" t="str">
        <f>_xlfn.XLOOKUP(PROPERTIES[[#This Row],[COUNTRY]],COUNTRIES[COUNTRY_DESCRIPTION],COUNTRIES[COUNTRY_LABEL],"")</f>
        <v>SG</v>
      </c>
      <c r="G820" t="str" cm="1">
        <f t="array" ref="G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0" t="s">
        <v>320</v>
      </c>
      <c r="I820">
        <v>160</v>
      </c>
      <c r="J820">
        <v>8</v>
      </c>
      <c r="K820">
        <v>8</v>
      </c>
      <c r="L820" t="str" cm="1">
        <f t="array" ref="L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0">
        <f>_xlfn.XLOOKUP("LOADINGSPEEDDEF_"&amp;PROPERTIES[[#This Row],[LOADINGSPEED]],LOADINGSPEEDDEF[TYPE],LOADINGSPEEDDEF[SPEED])</f>
        <v>120</v>
      </c>
      <c r="N820" t="str" cm="1">
        <f t="array" ref="N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0">
        <f>IF(ISNUMBER(SEARCH("passenger",PROPERTIES[[#This Row],[CARGODEF]])),1,0)</f>
        <v>1</v>
      </c>
      <c r="P820" s="29">
        <v>35</v>
      </c>
      <c r="Q820">
        <v>1000</v>
      </c>
      <c r="R820">
        <v>90</v>
      </c>
      <c r="S820" s="26">
        <v>0</v>
      </c>
      <c r="T820" s="25">
        <f>IFERROR(PROPERTIES[[#This Row],[TE_STARTING_KN]]/(PROPERTIES[[#This Row],[WEIGHT]]*9.81),0)</f>
        <v>0</v>
      </c>
      <c r="U820" s="25">
        <v>0.3</v>
      </c>
      <c r="V820" s="22">
        <f>ROUND(IF(IFERROR(PROPERTIES[[#This Row],[TE_COEFFICIENT_CALC]],0)=0,PROPERTIES[[#This Row],[TE_COEFFICIENT_MANUAL]],PROPERTIES[[#This Row],[TE_COEFFICIENT_CALC]]),3)</f>
        <v>0.3</v>
      </c>
      <c r="W820" s="10" cm="1">
        <f t="array" ref="W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0" s="32">
        <v>160</v>
      </c>
      <c r="Y820" s="8">
        <v>8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8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9" t="b">
        <v>0</v>
      </c>
    </row>
    <row r="821" spans="1:34">
      <c r="A821" s="2" t="s">
        <v>3058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t="s">
        <v>1710</v>
      </c>
      <c r="F821" t="str">
        <f>_xlfn.XLOOKUP(PROPERTIES[[#This Row],[COUNTRY]],COUNTRIES[COUNTRY_DESCRIPTION],COUNTRIES[COUNTRY_LABEL],"")</f>
        <v>AU</v>
      </c>
      <c r="G821" t="str" cm="1">
        <f t="array" ref="G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1" t="s">
        <v>320</v>
      </c>
      <c r="I821">
        <v>100</v>
      </c>
      <c r="J821">
        <v>8</v>
      </c>
      <c r="K821">
        <v>8</v>
      </c>
      <c r="L821" t="str" cm="1">
        <f t="array" ref="L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1">
        <f>_xlfn.XLOOKUP("LOADINGSPEEDDEF_"&amp;PROPERTIES[[#This Row],[LOADINGSPEED]],LOADINGSPEEDDEF[TYPE],LOADINGSPEEDDEF[SPEED])</f>
        <v>120</v>
      </c>
      <c r="N821" cm="1">
        <f t="array" ref="N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1">
        <f>IF(ISNUMBER(SEARCH("passenger",PROPERTIES[[#This Row],[CARGODEF]])),1,0)</f>
        <v>1</v>
      </c>
      <c r="P821" s="29">
        <v>22</v>
      </c>
      <c r="Q821">
        <v>500</v>
      </c>
      <c r="R821">
        <v>100</v>
      </c>
      <c r="S821" s="26">
        <v>0</v>
      </c>
      <c r="T821" s="25">
        <f>IFERROR(PROPERTIES[[#This Row],[TE_STARTING_KN]]/(PROPERTIES[[#This Row],[WEIGHT]]*9.81),0)</f>
        <v>0</v>
      </c>
      <c r="U821" s="25">
        <v>0.25</v>
      </c>
      <c r="V821" s="22">
        <f>ROUND(IF(IFERROR(PROPERTIES[[#This Row],[TE_COEFFICIENT_CALC]],0)=0,PROPERTIES[[#This Row],[TE_COEFFICIENT_MANUAL]],PROPERTIES[[#This Row],[TE_COEFFICIENT_CALC]]),3)</f>
        <v>0.25</v>
      </c>
      <c r="W821" s="10" cm="1">
        <f t="array" ref="W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1" s="32">
        <v>80</v>
      </c>
      <c r="Y821" s="8">
        <v>8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8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9" t="b">
        <v>0</v>
      </c>
    </row>
    <row r="822" spans="1:34">
      <c r="A822" t="s">
        <v>3062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t="s">
        <v>1710</v>
      </c>
      <c r="F822" t="str">
        <f>_xlfn.XLOOKUP(PROPERTIES[[#This Row],[COUNTRY]],COUNTRIES[COUNTRY_DESCRIPTION],COUNTRIES[COUNTRY_LABEL],"")</f>
        <v>AU</v>
      </c>
      <c r="G822" t="str" cm="1">
        <f t="array" ref="G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2" t="s">
        <v>320</v>
      </c>
      <c r="I822">
        <v>127</v>
      </c>
      <c r="J822">
        <v>8</v>
      </c>
      <c r="K822">
        <v>8</v>
      </c>
      <c r="L822" t="str" cm="1">
        <f t="array" ref="L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2">
        <f>_xlfn.XLOOKUP("LOADINGSPEEDDEF_"&amp;PROPERTIES[[#This Row],[LOADINGSPEED]],LOADINGSPEEDDEF[TYPE],LOADINGSPEEDDEF[SPEED])</f>
        <v>40</v>
      </c>
      <c r="N822" t="str" cm="1">
        <f t="array" ref="N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2">
        <f>IF(ISNUMBER(SEARCH("passenger",PROPERTIES[[#This Row],[CARGODEF]])),1,0)</f>
        <v>1</v>
      </c>
      <c r="P822" s="29">
        <f>INT(141/3)</f>
        <v>47</v>
      </c>
      <c r="Q822">
        <v>885</v>
      </c>
      <c r="R822">
        <v>115</v>
      </c>
      <c r="S822" s="26">
        <v>0</v>
      </c>
      <c r="T822" s="26">
        <f>IFERROR(PROPERTIES[[#This Row],[TE_STARTING_KN]]/(PROPERTIES[[#This Row],[WEIGHT]]*9.81),0)</f>
        <v>0</v>
      </c>
      <c r="U822" s="26">
        <v>0.3</v>
      </c>
      <c r="V822" s="22">
        <f>ROUND(IF(IFERROR(PROPERTIES[[#This Row],[TE_COEFFICIENT_CALC]],0)=0,PROPERTIES[[#This Row],[TE_COEFFICIENT_MANUAL]],PROPERTIES[[#This Row],[TE_COEFFICIENT_CALC]]),3)</f>
        <v>0.3</v>
      </c>
      <c r="W822" s="10" cm="1">
        <f t="array" ref="W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822" s="32">
        <v>127</v>
      </c>
      <c r="Y822" s="8">
        <v>8</v>
      </c>
      <c r="Z822" s="8" t="s">
        <v>871</v>
      </c>
      <c r="AA822" t="s">
        <v>868</v>
      </c>
      <c r="AB822" s="9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8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9" t="b">
        <v>0</v>
      </c>
    </row>
    <row r="823" spans="1:34">
      <c r="A823" s="2" t="s">
        <v>3063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t="s">
        <v>1710</v>
      </c>
      <c r="F823" t="str">
        <f>_xlfn.XLOOKUP(PROPERTIES[[#This Row],[COUNTRY]],COUNTRIES[COUNTRY_DESCRIPTION],COUNTRIES[COUNTRY_LABEL],"")</f>
        <v>AU</v>
      </c>
      <c r="G823" t="str" cm="1">
        <f t="array" ref="G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3" t="s">
        <v>320</v>
      </c>
      <c r="I823">
        <v>160</v>
      </c>
      <c r="J823">
        <v>8</v>
      </c>
      <c r="K823">
        <v>8</v>
      </c>
      <c r="L823" t="str" cm="1">
        <f t="array" ref="L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3">
        <f>_xlfn.XLOOKUP("LOADINGSPEEDDEF_"&amp;PROPERTIES[[#This Row],[LOADINGSPEED]],LOADINGSPEEDDEF[TYPE],LOADINGSPEEDDEF[SPEED])</f>
        <v>40</v>
      </c>
      <c r="N823" t="str" cm="1">
        <f t="array" ref="N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3">
        <f>IF(ISNUMBER(SEARCH("passenger",PROPERTIES[[#This Row],[CARGODEF]])),1,0)</f>
        <v>1</v>
      </c>
      <c r="P823" s="29">
        <v>38</v>
      </c>
      <c r="Q823">
        <v>1500</v>
      </c>
      <c r="R823">
        <v>130</v>
      </c>
      <c r="S823" s="26">
        <v>0</v>
      </c>
      <c r="T823" s="26">
        <f>IFERROR(PROPERTIES[[#This Row],[TE_STARTING_KN]]/(PROPERTIES[[#This Row],[WEIGHT]]*9.81),0)</f>
        <v>0</v>
      </c>
      <c r="U823" s="26">
        <v>0.3</v>
      </c>
      <c r="V823" s="22">
        <f>ROUND(IF(IFERROR(PROPERTIES[[#This Row],[TE_COEFFICIENT_CALC]],0)=0,PROPERTIES[[#This Row],[TE_COEFFICIENT_MANUAL]],PROPERTIES[[#This Row],[TE_COEFFICIENT_CALC]]),3)</f>
        <v>0.3</v>
      </c>
      <c r="W823" s="10" cm="1">
        <f t="array" ref="W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23" s="32">
        <v>160</v>
      </c>
      <c r="Y823" s="8">
        <v>8</v>
      </c>
      <c r="Z823" s="8" t="s">
        <v>871</v>
      </c>
      <c r="AA823" t="s">
        <v>868</v>
      </c>
      <c r="AB823" s="9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8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9" t="b">
        <v>0</v>
      </c>
    </row>
    <row r="824" spans="1:34">
      <c r="A824" s="2" t="s">
        <v>3066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t="s">
        <v>1754</v>
      </c>
      <c r="F824" t="str">
        <f>_xlfn.XLOOKUP(PROPERTIES[[#This Row],[COUNTRY]],COUNTRIES[COUNTRY_DESCRIPTION],COUNTRIES[COUNTRY_LABEL],"")</f>
        <v>DE</v>
      </c>
      <c r="G824" t="str" cm="1">
        <f t="array" ref="G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4" t="s">
        <v>19</v>
      </c>
      <c r="I824">
        <v>0</v>
      </c>
      <c r="J824">
        <v>8</v>
      </c>
      <c r="K824">
        <v>8</v>
      </c>
      <c r="L824" t="str" cm="1">
        <f t="array" ref="L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4">
        <f>_xlfn.XLOOKUP("LOADINGSPEEDDEF_"&amp;PROPERTIES[[#This Row],[LOADINGSPEED]],LOADINGSPEEDDEF[TYPE],LOADINGSPEEDDEF[SPEED])</f>
        <v>20</v>
      </c>
      <c r="N824" cm="1">
        <f t="array" ref="N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4">
        <f>IF(ISNUMBER(SEARCH("passenger",PROPERTIES[[#This Row],[CARGODEF]])),1,0)</f>
        <v>0</v>
      </c>
      <c r="P824" s="29">
        <v>116</v>
      </c>
      <c r="Q824">
        <f>INT(2206*1.3)</f>
        <v>2867</v>
      </c>
      <c r="R824">
        <v>140</v>
      </c>
      <c r="S824" s="26">
        <v>265</v>
      </c>
      <c r="T824" s="25">
        <f>IFERROR(PROPERTIES[[#This Row],[TE_STARTING_KN]]/(PROPERTIES[[#This Row],[WEIGHT]]*9.81),0)</f>
        <v>0.23287286020598263</v>
      </c>
      <c r="U824" s="25">
        <v>0</v>
      </c>
      <c r="V824" s="22">
        <f>ROUND(IF(IFERROR(PROPERTIES[[#This Row],[TE_COEFFICIENT_CALC]],0)=0,PROPERTIES[[#This Row],[TE_COEFFICIENT_MANUAL]],PROPERTIES[[#This Row],[TE_COEFFICIENT_CALC]]),3)</f>
        <v>0.23300000000000001</v>
      </c>
      <c r="W824" s="10" cm="1">
        <f t="array" ref="W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4" s="32">
        <v>0</v>
      </c>
      <c r="Y824" s="8">
        <v>0</v>
      </c>
      <c r="Z824" t="s">
        <v>869</v>
      </c>
      <c r="AA824" t="s">
        <v>3514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8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9" t="b">
        <v>1</v>
      </c>
    </row>
    <row r="825" spans="1:34">
      <c r="A825" t="s">
        <v>3070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t="s">
        <v>1928</v>
      </c>
      <c r="F825" t="str">
        <f>_xlfn.XLOOKUP(PROPERTIES[[#This Row],[COUNTRY]],COUNTRIES[COUNTRY_DESCRIPTION],COUNTRIES[COUNTRY_LABEL],"")</f>
        <v>US</v>
      </c>
      <c r="G825" t="str" cm="1">
        <f t="array" ref="G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5" t="s">
        <v>19</v>
      </c>
      <c r="I825">
        <v>0</v>
      </c>
      <c r="J825">
        <v>8</v>
      </c>
      <c r="K825">
        <v>10</v>
      </c>
      <c r="L825" t="str" cm="1">
        <f t="array" ref="L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5">
        <f>_xlfn.XLOOKUP("LOADINGSPEEDDEF_"&amp;PROPERTIES[[#This Row],[LOADINGSPEED]],LOADINGSPEEDDEF[TYPE],LOADINGSPEEDDEF[SPEED])</f>
        <v>20</v>
      </c>
      <c r="N825" t="str" cm="1">
        <f t="array" ref="N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5">
        <f>IF(ISNUMBER(SEARCH("passenger",PROPERTIES[[#This Row],[CARGODEF]])),1,0)</f>
        <v>0</v>
      </c>
      <c r="P825" s="29">
        <v>196</v>
      </c>
      <c r="Q825">
        <v>6000</v>
      </c>
      <c r="R825">
        <v>120</v>
      </c>
      <c r="S825" s="26">
        <v>840</v>
      </c>
      <c r="T825" s="26">
        <f>IFERROR(PROPERTIES[[#This Row],[TE_STARTING_KN]]/(PROPERTIES[[#This Row],[WEIGHT]]*9.81),0)</f>
        <v>0.43687199650502401</v>
      </c>
      <c r="U825" s="26">
        <v>0</v>
      </c>
      <c r="V825" s="22">
        <f>ROUND(IF(IFERROR(PROPERTIES[[#This Row],[TE_COEFFICIENT_CALC]],0)=0,PROPERTIES[[#This Row],[TE_COEFFICIENT_MANUAL]],PROPERTIES[[#This Row],[TE_COEFFICIENT_CALC]]),3)</f>
        <v>0.437</v>
      </c>
      <c r="W825" s="10" cm="1">
        <f t="array" ref="W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5" s="32">
        <v>0</v>
      </c>
      <c r="Y825" s="8">
        <v>2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8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9" t="b">
        <v>0</v>
      </c>
    </row>
    <row r="826" spans="1:34">
      <c r="A826" s="2" t="s">
        <v>3072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t="s">
        <v>1710</v>
      </c>
      <c r="F826" t="str">
        <f>_xlfn.XLOOKUP(PROPERTIES[[#This Row],[COUNTRY]],COUNTRIES[COUNTRY_DESCRIPTION],COUNTRIES[COUNTRY_LABEL],"")</f>
        <v>AU</v>
      </c>
      <c r="G826" t="str" cm="1">
        <f t="array" ref="G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6" t="s">
        <v>19</v>
      </c>
      <c r="I826">
        <v>0</v>
      </c>
      <c r="J826">
        <v>8</v>
      </c>
      <c r="K826">
        <v>10</v>
      </c>
      <c r="L826" t="str" cm="1">
        <f t="array" ref="L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6">
        <f>_xlfn.XLOOKUP("LOADINGSPEEDDEF_"&amp;PROPERTIES[[#This Row],[LOADINGSPEED]],LOADINGSPEEDDEF[TYPE],LOADINGSPEEDDEF[SPEED])</f>
        <v>20</v>
      </c>
      <c r="N826" t="str" cm="1">
        <f t="array" ref="N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6">
        <f>IF(ISNUMBER(SEARCH("passenger",PROPERTIES[[#This Row],[CARGODEF]])),1,0)</f>
        <v>0</v>
      </c>
      <c r="P826" s="29">
        <v>196</v>
      </c>
      <c r="Q826">
        <v>6000</v>
      </c>
      <c r="R826">
        <v>120</v>
      </c>
      <c r="S826" s="26">
        <v>840</v>
      </c>
      <c r="T826" s="26">
        <f>IFERROR(PROPERTIES[[#This Row],[TE_STARTING_KN]]/(PROPERTIES[[#This Row],[WEIGHT]]*9.81),0)</f>
        <v>0.43687199650502401</v>
      </c>
      <c r="U826" s="26">
        <v>0</v>
      </c>
      <c r="V826" s="22">
        <f>ROUND(IF(IFERROR(PROPERTIES[[#This Row],[TE_COEFFICIENT_CALC]],0)=0,PROPERTIES[[#This Row],[TE_COEFFICIENT_MANUAL]],PROPERTIES[[#This Row],[TE_COEFFICIENT_CALC]]),3)</f>
        <v>0.437</v>
      </c>
      <c r="W826" s="10" cm="1">
        <f t="array" ref="W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6" s="32">
        <v>0</v>
      </c>
      <c r="Y826" s="8">
        <v>2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8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9" t="b">
        <v>0</v>
      </c>
    </row>
    <row r="827" spans="1:34">
      <c r="A827" s="2" t="s">
        <v>3074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t="s">
        <v>1762</v>
      </c>
      <c r="F827" t="str">
        <f>_xlfn.XLOOKUP(PROPERTIES[[#This Row],[COUNTRY]],COUNTRIES[COUNTRY_DESCRIPTION],COUNTRIES[COUNTRY_LABEL],"")</f>
        <v>EG</v>
      </c>
      <c r="G827" t="str" cm="1">
        <f t="array" ref="G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7" t="s">
        <v>19</v>
      </c>
      <c r="I827">
        <v>0</v>
      </c>
      <c r="J827">
        <v>4</v>
      </c>
      <c r="K827">
        <v>7</v>
      </c>
      <c r="L827" t="str" cm="1">
        <f t="array" ref="L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7">
        <f>_xlfn.XLOOKUP("LOADINGSPEEDDEF_"&amp;PROPERTIES[[#This Row],[LOADINGSPEED]],LOADINGSPEEDDEF[TYPE],LOADINGSPEEDDEF[SPEED])</f>
        <v>20</v>
      </c>
      <c r="N827" cm="1">
        <f t="array" ref="N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7">
        <f>IF(ISNUMBER(SEARCH("passenger",PROPERTIES[[#This Row],[CARGODEF]])),1,0)</f>
        <v>0</v>
      </c>
      <c r="P827" s="29">
        <v>60</v>
      </c>
      <c r="Q827">
        <v>495</v>
      </c>
      <c r="R827">
        <v>95</v>
      </c>
      <c r="S827" s="26">
        <v>33</v>
      </c>
      <c r="T827" s="25">
        <f>IFERROR(PROPERTIES[[#This Row],[TE_STARTING_KN]]/(PROPERTIES[[#This Row],[WEIGHT]]*9.81),0)</f>
        <v>5.6065239551478081E-2</v>
      </c>
      <c r="U827" s="25">
        <v>0</v>
      </c>
      <c r="V827" s="22">
        <f>ROUND(IF(IFERROR(PROPERTIES[[#This Row],[TE_COEFFICIENT_CALC]],0)=0,PROPERTIES[[#This Row],[TE_COEFFICIENT_MANUAL]],PROPERTIES[[#This Row],[TE_COEFFICIENT_CALC]]),3)</f>
        <v>5.6000000000000001E-2</v>
      </c>
      <c r="W827" s="10" cm="1">
        <f t="array" ref="W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27" s="32">
        <v>0</v>
      </c>
      <c r="Y827" s="8">
        <v>3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8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9" t="b">
        <v>0</v>
      </c>
    </row>
    <row r="828" spans="1:34">
      <c r="A828" s="2" t="s">
        <v>3076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t="s">
        <v>1710</v>
      </c>
      <c r="F828" t="str">
        <f>_xlfn.XLOOKUP(PROPERTIES[[#This Row],[COUNTRY]],COUNTRIES[COUNTRY_DESCRIPTION],COUNTRIES[COUNTRY_LABEL],"")</f>
        <v>AU</v>
      </c>
      <c r="G828" t="str" cm="1">
        <f t="array" ref="G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8" t="s">
        <v>320</v>
      </c>
      <c r="I828">
        <v>160</v>
      </c>
      <c r="J828">
        <v>8</v>
      </c>
      <c r="K828">
        <v>8</v>
      </c>
      <c r="L828" t="str" cm="1">
        <f t="array" ref="L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8">
        <f>_xlfn.XLOOKUP("LOADINGSPEEDDEF_"&amp;PROPERTIES[[#This Row],[LOADINGSPEED]],LOADINGSPEEDDEF[TYPE],LOADINGSPEEDDEF[SPEED])</f>
        <v>40</v>
      </c>
      <c r="N828" cm="1">
        <f t="array" ref="N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8">
        <f>IF(ISNUMBER(SEARCH("passenger",PROPERTIES[[#This Row],[CARGODEF]])),1,0)</f>
        <v>1</v>
      </c>
      <c r="P828" s="29">
        <v>40</v>
      </c>
      <c r="Q828">
        <v>2400</v>
      </c>
      <c r="R828">
        <v>116</v>
      </c>
      <c r="S828" s="26">
        <v>0</v>
      </c>
      <c r="T828" s="26">
        <f>IFERROR(PROPERTIES[[#This Row],[TE_STARTING_KN]]/(PROPERTIES[[#This Row],[WEIGHT]]*9.81),0)</f>
        <v>0</v>
      </c>
      <c r="U828" s="26">
        <v>0.3</v>
      </c>
      <c r="V828" s="22">
        <f>ROUND(IF(IFERROR(PROPERTIES[[#This Row],[TE_COEFFICIENT_CALC]],0)=0,PROPERTIES[[#This Row],[TE_COEFFICIENT_MANUAL]],PROPERTIES[[#This Row],[TE_COEFFICIENT_CALC]]),3)</f>
        <v>0.3</v>
      </c>
      <c r="W828" s="10" cm="1">
        <f t="array" ref="W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8" s="32">
        <v>160</v>
      </c>
      <c r="Y828" s="8">
        <v>8</v>
      </c>
      <c r="Z828" s="8" t="s">
        <v>871</v>
      </c>
      <c r="AA828" t="s">
        <v>868</v>
      </c>
      <c r="AB828" s="9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8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9" t="b">
        <v>0</v>
      </c>
    </row>
    <row r="829" spans="1:34">
      <c r="A829" s="2" t="s">
        <v>3079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t="s">
        <v>1710</v>
      </c>
      <c r="F829" t="str">
        <f>_xlfn.XLOOKUP(PROPERTIES[[#This Row],[COUNTRY]],COUNTRIES[COUNTRY_DESCRIPTION],COUNTRIES[COUNTRY_LABEL],"")</f>
        <v>AU</v>
      </c>
      <c r="G829" t="str" cm="1">
        <f t="array" ref="G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9" t="s">
        <v>320</v>
      </c>
      <c r="I829">
        <v>101</v>
      </c>
      <c r="J829">
        <v>8</v>
      </c>
      <c r="K829">
        <v>8</v>
      </c>
      <c r="L829" t="str" cm="1">
        <f t="array" ref="L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9">
        <f>_xlfn.XLOOKUP("LOADINGSPEEDDEF_"&amp;PROPERTIES[[#This Row],[LOADINGSPEED]],LOADINGSPEEDDEF[TYPE],LOADINGSPEEDDEF[SPEED])</f>
        <v>40</v>
      </c>
      <c r="N829" cm="1">
        <f t="array" ref="N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9">
        <f>IF(ISNUMBER(SEARCH("passenger",PROPERTIES[[#This Row],[CARGODEF]])),1,0)</f>
        <v>1</v>
      </c>
      <c r="P829" s="29">
        <v>46</v>
      </c>
      <c r="Q829">
        <v>808</v>
      </c>
      <c r="R829">
        <v>113</v>
      </c>
      <c r="S829" s="26">
        <v>0</v>
      </c>
      <c r="T829" s="26">
        <f>IFERROR(PROPERTIES[[#This Row],[TE_STARTING_KN]]/(PROPERTIES[[#This Row],[WEIGHT]]*9.81),0)</f>
        <v>0</v>
      </c>
      <c r="U829" s="26">
        <v>0.3</v>
      </c>
      <c r="V829" s="22">
        <f>ROUND(IF(IFERROR(PROPERTIES[[#This Row],[TE_COEFFICIENT_CALC]],0)=0,PROPERTIES[[#This Row],[TE_COEFFICIENT_MANUAL]],PROPERTIES[[#This Row],[TE_COEFFICIENT_CALC]]),3)</f>
        <v>0.3</v>
      </c>
      <c r="W829" s="10" cm="1">
        <f t="array" ref="W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9" s="32">
        <v>100</v>
      </c>
      <c r="Y829" s="8">
        <v>8</v>
      </c>
      <c r="Z829" s="8" t="s">
        <v>871</v>
      </c>
      <c r="AA829" t="s">
        <v>868</v>
      </c>
      <c r="AB829" s="9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8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9" t="b">
        <v>0</v>
      </c>
    </row>
    <row r="830" spans="1:34">
      <c r="A830" s="2" t="s">
        <v>3081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t="s">
        <v>1710</v>
      </c>
      <c r="F830" t="str">
        <f>_xlfn.XLOOKUP(PROPERTIES[[#This Row],[COUNTRY]],COUNTRIES[COUNTRY_DESCRIPTION],COUNTRIES[COUNTRY_LABEL],"")</f>
        <v>AU</v>
      </c>
      <c r="G830" t="str" cm="1">
        <f t="array" ref="G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0" t="s">
        <v>320</v>
      </c>
      <c r="I830">
        <v>142</v>
      </c>
      <c r="J830">
        <v>8</v>
      </c>
      <c r="K830">
        <v>8</v>
      </c>
      <c r="L830" t="str" cm="1">
        <f t="array" ref="L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0">
        <f>_xlfn.XLOOKUP("LOADINGSPEEDDEF_"&amp;PROPERTIES[[#This Row],[LOADINGSPEED]],LOADINGSPEEDDEF[TYPE],LOADINGSPEEDDEF[SPEED])</f>
        <v>40</v>
      </c>
      <c r="N830" t="str" cm="1">
        <f t="array" ref="N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0">
        <f>IF(ISNUMBER(SEARCH("passenger",PROPERTIES[[#This Row],[CARGODEF]])),1,0)</f>
        <v>1</v>
      </c>
      <c r="P830" s="29">
        <v>40</v>
      </c>
      <c r="Q830">
        <v>1286</v>
      </c>
      <c r="R830">
        <v>145</v>
      </c>
      <c r="S830" s="26">
        <v>0</v>
      </c>
      <c r="T830" s="26">
        <f>IFERROR(PROPERTIES[[#This Row],[TE_STARTING_KN]]/(PROPERTIES[[#This Row],[WEIGHT]]*9.81),0)</f>
        <v>0</v>
      </c>
      <c r="U830" s="26">
        <v>0.3</v>
      </c>
      <c r="V830" s="22">
        <f>ROUND(IF(IFERROR(PROPERTIES[[#This Row],[TE_COEFFICIENT_CALC]],0)=0,PROPERTIES[[#This Row],[TE_COEFFICIENT_MANUAL]],PROPERTIES[[#This Row],[TE_COEFFICIENT_CALC]]),3)</f>
        <v>0.3</v>
      </c>
      <c r="W830" s="10" cm="1">
        <f t="array" ref="W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30" s="32">
        <v>140</v>
      </c>
      <c r="Y830" s="8">
        <v>8</v>
      </c>
      <c r="Z830" s="8" t="s">
        <v>871</v>
      </c>
      <c r="AA830" t="s">
        <v>868</v>
      </c>
      <c r="AB830" s="9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8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9" t="b">
        <v>0</v>
      </c>
    </row>
    <row r="831" spans="1:34">
      <c r="A831" s="2" t="s">
        <v>3084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t="s">
        <v>1710</v>
      </c>
      <c r="F831" t="str">
        <f>_xlfn.XLOOKUP(PROPERTIES[[#This Row],[COUNTRY]],COUNTRIES[COUNTRY_DESCRIPTION],COUNTRIES[COUNTRY_LABEL],"")</f>
        <v>AU</v>
      </c>
      <c r="G831" t="str" cm="1">
        <f t="array" ref="G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1" t="s">
        <v>320</v>
      </c>
      <c r="I831">
        <v>72</v>
      </c>
      <c r="J831">
        <v>8</v>
      </c>
      <c r="K831">
        <v>8</v>
      </c>
      <c r="L831" t="str" cm="1">
        <f t="array" ref="L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1">
        <f>_xlfn.XLOOKUP("LOADINGSPEEDDEF_"&amp;PROPERTIES[[#This Row],[LOADINGSPEED]],LOADINGSPEEDDEF[TYPE],LOADINGSPEEDDEF[SPEED])</f>
        <v>40</v>
      </c>
      <c r="N831" cm="1">
        <f t="array" ref="N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1">
        <f>IF(ISNUMBER(SEARCH("passenger",PROPERTIES[[#This Row],[CARGODEF]])),1,0)</f>
        <v>1</v>
      </c>
      <c r="P831" s="29">
        <v>35</v>
      </c>
      <c r="Q831">
        <v>282</v>
      </c>
      <c r="R831">
        <v>80</v>
      </c>
      <c r="S831" s="26">
        <v>0</v>
      </c>
      <c r="T831" s="26">
        <f>IFERROR(PROPERTIES[[#This Row],[TE_STARTING_KN]]/(PROPERTIES[[#This Row],[WEIGHT]]*9.81),0)</f>
        <v>0</v>
      </c>
      <c r="U831" s="26">
        <v>0.2</v>
      </c>
      <c r="V831" s="22">
        <f>ROUND(IF(IFERROR(PROPERTIES[[#This Row],[TE_COEFFICIENT_CALC]],0)=0,PROPERTIES[[#This Row],[TE_COEFFICIENT_MANUAL]],PROPERTIES[[#This Row],[TE_COEFFICIENT_CALC]]),3)</f>
        <v>0.2</v>
      </c>
      <c r="W831" s="10" cm="1">
        <f t="array" ref="W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831" s="32">
        <v>72</v>
      </c>
      <c r="Y831" s="8">
        <v>8</v>
      </c>
      <c r="Z831" s="8" t="s">
        <v>871</v>
      </c>
      <c r="AA831" t="s">
        <v>868</v>
      </c>
      <c r="AB831" s="9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8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9" t="b">
        <v>0</v>
      </c>
    </row>
    <row r="832" spans="1:34">
      <c r="A832" s="2" t="s">
        <v>3087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t="s">
        <v>1754</v>
      </c>
      <c r="F832" t="str">
        <f>_xlfn.XLOOKUP(PROPERTIES[[#This Row],[COUNTRY]],COUNTRIES[COUNTRY_DESCRIPTION],COUNTRIES[COUNTRY_LABEL],"")</f>
        <v>DE</v>
      </c>
      <c r="G832" t="str" cm="1">
        <f t="array" ref="G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2" t="s">
        <v>320</v>
      </c>
      <c r="I832">
        <f>234/2</f>
        <v>117</v>
      </c>
      <c r="J832">
        <v>8</v>
      </c>
      <c r="K832">
        <v>8</v>
      </c>
      <c r="L832" t="str" cm="1">
        <f t="array" ref="L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2">
        <f>_xlfn.XLOOKUP("LOADINGSPEEDDEF_"&amp;PROPERTIES[[#This Row],[LOADINGSPEED]],LOADINGSPEEDDEF[TYPE],LOADINGSPEEDDEF[SPEED])</f>
        <v>120</v>
      </c>
      <c r="N832" cm="1">
        <f t="array" ref="N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2">
        <f>IF(ISNUMBER(SEARCH("passenger",PROPERTIES[[#This Row],[CARGODEF]])),1,0)</f>
        <v>1</v>
      </c>
      <c r="P832" s="29">
        <v>38</v>
      </c>
      <c r="Q832">
        <f>540*1.3</f>
        <v>702</v>
      </c>
      <c r="R832">
        <v>72</v>
      </c>
      <c r="S832" s="26">
        <v>0</v>
      </c>
      <c r="T832" s="25">
        <f>IFERROR(PROPERTIES[[#This Row],[TE_STARTING_KN]]/(PROPERTIES[[#This Row],[WEIGHT]]*9.81),0)</f>
        <v>0</v>
      </c>
      <c r="U832" s="25">
        <v>0.25</v>
      </c>
      <c r="V832" s="22">
        <f>ROUND(IF(IFERROR(PROPERTIES[[#This Row],[TE_COEFFICIENT_CALC]],0)=0,PROPERTIES[[#This Row],[TE_COEFFICIENT_MANUAL]],PROPERTIES[[#This Row],[TE_COEFFICIENT_CALC]]),3)</f>
        <v>0.25</v>
      </c>
      <c r="W832" s="10" cm="1">
        <f t="array" ref="W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2" s="32">
        <v>117</v>
      </c>
      <c r="Y832" s="8">
        <v>8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8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9" t="b">
        <v>0</v>
      </c>
    </row>
    <row r="833" spans="1:34">
      <c r="A833" s="2" t="s">
        <v>3090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t="s">
        <v>1754</v>
      </c>
      <c r="F833" t="str">
        <f>_xlfn.XLOOKUP(PROPERTIES[[#This Row],[COUNTRY]],COUNTRIES[COUNTRY_DESCRIPTION],COUNTRIES[COUNTRY_LABEL],"")</f>
        <v>DE</v>
      </c>
      <c r="G833" t="str" cm="1">
        <f t="array" ref="G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3" t="s">
        <v>320</v>
      </c>
      <c r="I833">
        <f>INT((168+580)/6)</f>
        <v>124</v>
      </c>
      <c r="J833">
        <v>8</v>
      </c>
      <c r="K833">
        <v>8</v>
      </c>
      <c r="L833" t="str" cm="1">
        <f t="array" ref="L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3">
        <f>_xlfn.XLOOKUP("LOADINGSPEEDDEF_"&amp;PROPERTIES[[#This Row],[LOADINGSPEED]],LOADINGSPEEDDEF[TYPE],LOADINGSPEEDDEF[SPEED])</f>
        <v>120</v>
      </c>
      <c r="N833" t="str" cm="1">
        <f t="array" ref="N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3">
        <f>IF(ISNUMBER(SEARCH("passenger",PROPERTIES[[#This Row],[CARGODEF]])),1,0)</f>
        <v>1</v>
      </c>
      <c r="P833" s="29">
        <f>INT(228/6)</f>
        <v>38</v>
      </c>
      <c r="Q833">
        <v>2900</v>
      </c>
      <c r="R833">
        <v>80</v>
      </c>
      <c r="S833" s="26">
        <v>0</v>
      </c>
      <c r="T833" s="26">
        <f>IFERROR(PROPERTIES[[#This Row],[TE_STARTING_KN]]/(PROPERTIES[[#This Row],[WEIGHT]]*9.81),0)</f>
        <v>0</v>
      </c>
      <c r="U833" s="26">
        <v>0.3</v>
      </c>
      <c r="V833" s="22">
        <f>ROUND(IF(IFERROR(PROPERTIES[[#This Row],[TE_COEFFICIENT_CALC]],0)=0,PROPERTIES[[#This Row],[TE_COEFFICIENT_MANUAL]],PROPERTIES[[#This Row],[TE_COEFFICIENT_CALC]]),3)</f>
        <v>0.3</v>
      </c>
      <c r="W833" s="33" cm="1">
        <f t="array" ref="W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3" s="41">
        <f>INT((168+580)/6)</f>
        <v>124</v>
      </c>
      <c r="Y833" s="8">
        <v>8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8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9" t="b">
        <v>0</v>
      </c>
    </row>
    <row r="834" spans="1:34">
      <c r="A834" s="2" t="s">
        <v>3093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t="s">
        <v>1773</v>
      </c>
      <c r="F834" t="str">
        <f>_xlfn.XLOOKUP(PROPERTIES[[#This Row],[COUNTRY]],COUNTRIES[COUNTRY_DESCRIPTION],COUNTRIES[COUNTRY_LABEL],"")</f>
        <v>GB</v>
      </c>
      <c r="G834" t="str" cm="1">
        <f t="array" ref="G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4" t="s">
        <v>19</v>
      </c>
      <c r="I834">
        <v>0</v>
      </c>
      <c r="J834">
        <v>5</v>
      </c>
      <c r="K834">
        <v>5</v>
      </c>
      <c r="L834" t="str" cm="1">
        <f t="array" ref="L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4">
        <f>_xlfn.XLOOKUP("LOADINGSPEEDDEF_"&amp;PROPERTIES[[#This Row],[LOADINGSPEED]],LOADINGSPEEDDEF[TYPE],LOADINGSPEEDDEF[SPEED])</f>
        <v>20</v>
      </c>
      <c r="N834" cm="1">
        <f t="array" ref="N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4">
        <f>IF(ISNUMBER(SEARCH("passenger",PROPERTIES[[#This Row],[CARGODEF]])),1,0)</f>
        <v>0</v>
      </c>
      <c r="P834" s="29">
        <v>28</v>
      </c>
      <c r="Q834">
        <v>250</v>
      </c>
      <c r="R834">
        <v>70</v>
      </c>
      <c r="S834" s="26">
        <v>34</v>
      </c>
      <c r="T834" s="26">
        <f>IFERROR(PROPERTIES[[#This Row],[TE_STARTING_KN]]/(PROPERTIES[[#This Row],[WEIGHT]]*9.81),0)</f>
        <v>0.12378039900975681</v>
      </c>
      <c r="U834" s="26">
        <v>0</v>
      </c>
      <c r="V834" s="22">
        <f>ROUND(IF(IFERROR(PROPERTIES[[#This Row],[TE_COEFFICIENT_CALC]],0)=0,PROPERTIES[[#This Row],[TE_COEFFICIENT_MANUAL]],PROPERTIES[[#This Row],[TE_COEFFICIENT_CALC]]),3)</f>
        <v>0.124</v>
      </c>
      <c r="W834" s="33" cm="1">
        <f t="array" ref="W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34" s="32">
        <v>0</v>
      </c>
      <c r="Y834" s="8">
        <v>0</v>
      </c>
      <c r="Z834" s="8" t="s">
        <v>873</v>
      </c>
      <c r="AA834" s="8" t="s">
        <v>871</v>
      </c>
      <c r="AB834" s="9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8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9" t="b">
        <v>0</v>
      </c>
    </row>
    <row r="835" spans="1:34">
      <c r="A835" s="2" t="s">
        <v>3095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t="s">
        <v>1710</v>
      </c>
      <c r="F835" t="str">
        <f>_xlfn.XLOOKUP(PROPERTIES[[#This Row],[COUNTRY]],COUNTRIES[COUNTRY_DESCRIPTION],COUNTRIES[COUNTRY_LABEL],"")</f>
        <v>AU</v>
      </c>
      <c r="G835" t="str" cm="1">
        <f t="array" ref="G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5" t="s">
        <v>19</v>
      </c>
      <c r="I835">
        <v>0</v>
      </c>
      <c r="J835">
        <v>6</v>
      </c>
      <c r="K835">
        <v>6</v>
      </c>
      <c r="L835" t="str" cm="1">
        <f t="array" ref="L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5">
        <f>_xlfn.XLOOKUP("LOADINGSPEEDDEF_"&amp;PROPERTIES[[#This Row],[LOADINGSPEED]],LOADINGSPEEDDEF[TYPE],LOADINGSPEEDDEF[SPEED])</f>
        <v>20</v>
      </c>
      <c r="N835" cm="1">
        <f t="array" ref="N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5">
        <f>IF(ISNUMBER(SEARCH("passenger",PROPERTIES[[#This Row],[CARGODEF]])),1,0)</f>
        <v>0</v>
      </c>
      <c r="P835" s="29">
        <v>43</v>
      </c>
      <c r="Q835">
        <v>700</v>
      </c>
      <c r="R835">
        <v>80</v>
      </c>
      <c r="S835" s="26">
        <v>95</v>
      </c>
      <c r="T835" s="26">
        <f>IFERROR(PROPERTIES[[#This Row],[TE_STARTING_KN]]/(PROPERTIES[[#This Row],[WEIGHT]]*9.81),0)</f>
        <v>0.2252092075006519</v>
      </c>
      <c r="U835" s="26">
        <v>0</v>
      </c>
      <c r="V835" s="22">
        <f>ROUND(IF(IFERROR(PROPERTIES[[#This Row],[TE_COEFFICIENT_CALC]],0)=0,PROPERTIES[[#This Row],[TE_COEFFICIENT_MANUAL]],PROPERTIES[[#This Row],[TE_COEFFICIENT_CALC]]),3)</f>
        <v>0.22500000000000001</v>
      </c>
      <c r="W835" s="33" cm="1">
        <f t="array" ref="W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35" s="32">
        <v>0</v>
      </c>
      <c r="Y835" s="8">
        <v>0</v>
      </c>
      <c r="Z835" s="8" t="s">
        <v>871</v>
      </c>
      <c r="AA835" t="s">
        <v>868</v>
      </c>
      <c r="AB835" s="9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8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9" t="b">
        <v>0</v>
      </c>
    </row>
    <row r="836" spans="1:34">
      <c r="A836" s="2" t="s">
        <v>3098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t="s">
        <v>1710</v>
      </c>
      <c r="F836" t="str">
        <f>_xlfn.XLOOKUP(PROPERTIES[[#This Row],[COUNTRY]],COUNTRIES[COUNTRY_DESCRIPTION],COUNTRIES[COUNTRY_LABEL],"")</f>
        <v>AU</v>
      </c>
      <c r="G836" t="str" cm="1">
        <f t="array" ref="G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6" t="s">
        <v>19</v>
      </c>
      <c r="I836">
        <v>0</v>
      </c>
      <c r="J836">
        <v>5</v>
      </c>
      <c r="K836">
        <v>9</v>
      </c>
      <c r="L836" t="str" cm="1">
        <f t="array" ref="L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6">
        <f>_xlfn.XLOOKUP("LOADINGSPEEDDEF_"&amp;PROPERTIES[[#This Row],[LOADINGSPEED]],LOADINGSPEEDDEF[TYPE],LOADINGSPEEDDEF[SPEED])</f>
        <v>20</v>
      </c>
      <c r="N836" cm="1">
        <f t="array" ref="N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6">
        <f>IF(ISNUMBER(SEARCH("passenger",PROPERTIES[[#This Row],[CARGODEF]])),1,0)</f>
        <v>0</v>
      </c>
      <c r="P836" s="29">
        <v>64</v>
      </c>
      <c r="Q836">
        <v>720</v>
      </c>
      <c r="R836">
        <v>100</v>
      </c>
      <c r="S836" s="26">
        <v>115</v>
      </c>
      <c r="T836" s="26">
        <f>IFERROR(PROPERTIES[[#This Row],[TE_STARTING_KN]]/(PROPERTIES[[#This Row],[WEIGHT]]*9.81),0)</f>
        <v>0.18316768603465849</v>
      </c>
      <c r="U836" s="26">
        <v>0</v>
      </c>
      <c r="V836" s="22">
        <f>ROUND(IF(IFERROR(PROPERTIES[[#This Row],[TE_COEFFICIENT_CALC]],0)=0,PROPERTIES[[#This Row],[TE_COEFFICIENT_MANUAL]],PROPERTIES[[#This Row],[TE_COEFFICIENT_CALC]]),3)</f>
        <v>0.183</v>
      </c>
      <c r="W836" s="33" cm="1">
        <f t="array" ref="W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36" s="32">
        <v>0</v>
      </c>
      <c r="Y836" s="8">
        <v>4</v>
      </c>
      <c r="Z836" s="8" t="s">
        <v>871</v>
      </c>
      <c r="AA836" t="s">
        <v>868</v>
      </c>
      <c r="AB836" s="9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8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9" t="b">
        <v>0</v>
      </c>
    </row>
    <row r="837" spans="1:34">
      <c r="A837" s="2" t="s">
        <v>3101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t="s">
        <v>1710</v>
      </c>
      <c r="F837" t="str">
        <f>_xlfn.XLOOKUP(PROPERTIES[[#This Row],[COUNTRY]],COUNTRIES[COUNTRY_DESCRIPTION],COUNTRIES[COUNTRY_LABEL],"")</f>
        <v>AU</v>
      </c>
      <c r="G837" t="str" cm="1">
        <f t="array" ref="G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7" t="s">
        <v>19</v>
      </c>
      <c r="I837">
        <v>0</v>
      </c>
      <c r="J837">
        <v>5</v>
      </c>
      <c r="K837">
        <v>9</v>
      </c>
      <c r="L837" t="str" cm="1">
        <f t="array" ref="L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7">
        <f>_xlfn.XLOOKUP("LOADINGSPEEDDEF_"&amp;PROPERTIES[[#This Row],[LOADINGSPEED]],LOADINGSPEEDDEF[TYPE],LOADINGSPEEDDEF[SPEED])</f>
        <v>20</v>
      </c>
      <c r="N837" cm="1">
        <f t="array" ref="N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7">
        <f>IF(ISNUMBER(SEARCH("passenger",PROPERTIES[[#This Row],[CARGODEF]])),1,0)</f>
        <v>0</v>
      </c>
      <c r="P837" s="29">
        <v>63</v>
      </c>
      <c r="Q837">
        <v>1050</v>
      </c>
      <c r="R837">
        <v>65</v>
      </c>
      <c r="S837" s="26">
        <v>136</v>
      </c>
      <c r="T837" s="26">
        <f>IFERROR(PROPERTIES[[#This Row],[TE_STARTING_KN]]/(PROPERTIES[[#This Row],[WEIGHT]]*9.81),0)</f>
        <v>0.22005404268401207</v>
      </c>
      <c r="U837" s="26">
        <v>0</v>
      </c>
      <c r="V837" s="22">
        <f>ROUND(IF(IFERROR(PROPERTIES[[#This Row],[TE_COEFFICIENT_CALC]],0)=0,PROPERTIES[[#This Row],[TE_COEFFICIENT_MANUAL]],PROPERTIES[[#This Row],[TE_COEFFICIENT_CALC]]),3)</f>
        <v>0.22</v>
      </c>
      <c r="W837" s="33" cm="1">
        <f t="array" ref="W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37" s="32">
        <v>0</v>
      </c>
      <c r="Y837" s="8">
        <v>4</v>
      </c>
      <c r="Z837" s="8" t="s">
        <v>871</v>
      </c>
      <c r="AA837" t="s">
        <v>868</v>
      </c>
      <c r="AB837" s="9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8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9" t="b">
        <v>0</v>
      </c>
    </row>
    <row r="838" spans="1:34">
      <c r="A838" s="2" t="s">
        <v>3104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t="s">
        <v>1710</v>
      </c>
      <c r="F838" t="str">
        <f>_xlfn.XLOOKUP(PROPERTIES[[#This Row],[COUNTRY]],COUNTRIES[COUNTRY_DESCRIPTION],COUNTRIES[COUNTRY_LABEL],"")</f>
        <v>AU</v>
      </c>
      <c r="G838" t="str" cm="1">
        <f t="array" ref="G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8" t="s">
        <v>19</v>
      </c>
      <c r="I838">
        <v>0</v>
      </c>
      <c r="J838">
        <v>5</v>
      </c>
      <c r="K838">
        <v>8</v>
      </c>
      <c r="L838" t="str" cm="1">
        <f t="array" ref="L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8">
        <f>_xlfn.XLOOKUP("LOADINGSPEEDDEF_"&amp;PROPERTIES[[#This Row],[LOADINGSPEED]],LOADINGSPEEDDEF[TYPE],LOADINGSPEEDDEF[SPEED])</f>
        <v>20</v>
      </c>
      <c r="N838" cm="1">
        <f t="array" ref="N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8">
        <f>IF(ISNUMBER(SEARCH("passenger",PROPERTIES[[#This Row],[CARGODEF]])),1,0)</f>
        <v>0</v>
      </c>
      <c r="P838" s="29">
        <v>40</v>
      </c>
      <c r="Q838">
        <v>400</v>
      </c>
      <c r="R838">
        <v>100</v>
      </c>
      <c r="S838" s="26">
        <v>62.4</v>
      </c>
      <c r="T838" s="26">
        <f>IFERROR(PROPERTIES[[#This Row],[TE_STARTING_KN]]/(PROPERTIES[[#This Row],[WEIGHT]]*9.81),0)</f>
        <v>0.15902140672782872</v>
      </c>
      <c r="U838" s="26">
        <v>0</v>
      </c>
      <c r="V838" s="22">
        <f>ROUND(IF(IFERROR(PROPERTIES[[#This Row],[TE_COEFFICIENT_CALC]],0)=0,PROPERTIES[[#This Row],[TE_COEFFICIENT_MANUAL]],PROPERTIES[[#This Row],[TE_COEFFICIENT_CALC]]),3)</f>
        <v>0.159</v>
      </c>
      <c r="W838" s="33" cm="1">
        <f t="array" ref="W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X838" s="32">
        <v>0</v>
      </c>
      <c r="Y838" s="8">
        <v>3</v>
      </c>
      <c r="Z838" s="8" t="s">
        <v>871</v>
      </c>
      <c r="AA838" t="s">
        <v>868</v>
      </c>
      <c r="AB838" s="9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8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9" t="b">
        <v>0</v>
      </c>
    </row>
    <row r="839" spans="1:34">
      <c r="A839" s="2" t="s">
        <v>3107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t="s">
        <v>1710</v>
      </c>
      <c r="F839" t="str">
        <f>_xlfn.XLOOKUP(PROPERTIES[[#This Row],[COUNTRY]],COUNTRIES[COUNTRY_DESCRIPTION],COUNTRIES[COUNTRY_LABEL],"")</f>
        <v>AU</v>
      </c>
      <c r="G839" t="str" cm="1">
        <f t="array" ref="G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9" t="s">
        <v>19</v>
      </c>
      <c r="I839">
        <v>0</v>
      </c>
      <c r="J839">
        <v>5</v>
      </c>
      <c r="K839">
        <v>8</v>
      </c>
      <c r="L839" t="str" cm="1">
        <f t="array" ref="L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9">
        <f>_xlfn.XLOOKUP("LOADINGSPEEDDEF_"&amp;PROPERTIES[[#This Row],[LOADINGSPEED]],LOADINGSPEEDDEF[TYPE],LOADINGSPEEDDEF[SPEED])</f>
        <v>20</v>
      </c>
      <c r="N839" cm="1">
        <f t="array" ref="N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9">
        <f>IF(ISNUMBER(SEARCH("passenger",PROPERTIES[[#This Row],[CARGODEF]])),1,0)</f>
        <v>0</v>
      </c>
      <c r="P839" s="29">
        <v>34</v>
      </c>
      <c r="Q839">
        <v>500</v>
      </c>
      <c r="R839">
        <v>40</v>
      </c>
      <c r="S839" s="26">
        <v>79.599999999999994</v>
      </c>
      <c r="T839" s="26">
        <f>IFERROR(PROPERTIES[[#This Row],[TE_STARTING_KN]]/(PROPERTIES[[#This Row],[WEIGHT]]*9.81),0)</f>
        <v>0.23865203573784249</v>
      </c>
      <c r="U839" s="26">
        <v>0</v>
      </c>
      <c r="V839" s="22">
        <f>ROUND(IF(IFERROR(PROPERTIES[[#This Row],[TE_COEFFICIENT_CALC]],0)=0,PROPERTIES[[#This Row],[TE_COEFFICIENT_MANUAL]],PROPERTIES[[#This Row],[TE_COEFFICIENT_CALC]]),3)</f>
        <v>0.23899999999999999</v>
      </c>
      <c r="W839" s="33" cm="1">
        <f t="array" ref="W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39" s="32">
        <v>0</v>
      </c>
      <c r="Y839" s="8">
        <v>3</v>
      </c>
      <c r="Z839" s="8" t="s">
        <v>871</v>
      </c>
      <c r="AA839" t="s">
        <v>868</v>
      </c>
      <c r="AB839" s="9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8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9" t="b">
        <v>0</v>
      </c>
    </row>
    <row r="840" spans="1:34">
      <c r="A840" s="2" t="s">
        <v>3110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t="s">
        <v>1710</v>
      </c>
      <c r="F840" t="str">
        <f>_xlfn.XLOOKUP(PROPERTIES[[#This Row],[COUNTRY]],COUNTRIES[COUNTRY_DESCRIPTION],COUNTRIES[COUNTRY_LABEL],"")</f>
        <v>AU</v>
      </c>
      <c r="G840" t="str" cm="1">
        <f t="array" ref="G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0" t="s">
        <v>19</v>
      </c>
      <c r="I840">
        <v>0</v>
      </c>
      <c r="J840">
        <v>6</v>
      </c>
      <c r="K840">
        <v>6</v>
      </c>
      <c r="L840" t="str" cm="1">
        <f t="array" ref="L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0">
        <f>_xlfn.XLOOKUP("LOADINGSPEEDDEF_"&amp;PROPERTIES[[#This Row],[LOADINGSPEED]],LOADINGSPEEDDEF[TYPE],LOADINGSPEEDDEF[SPEED])</f>
        <v>20</v>
      </c>
      <c r="N840" cm="1">
        <f t="array" ref="N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0">
        <f>IF(ISNUMBER(SEARCH("passenger",PROPERTIES[[#This Row],[CARGODEF]])),1,0)</f>
        <v>0</v>
      </c>
      <c r="P840" s="29">
        <v>66</v>
      </c>
      <c r="Q840">
        <v>900</v>
      </c>
      <c r="R840">
        <v>65</v>
      </c>
      <c r="S840" s="26">
        <v>99.6</v>
      </c>
      <c r="T840" s="26">
        <f>IFERROR(PROPERTIES[[#This Row],[TE_STARTING_KN]]/(PROPERTIES[[#This Row],[WEIGHT]]*9.81),0)</f>
        <v>0.15383189695116298</v>
      </c>
      <c r="U840" s="26">
        <v>0</v>
      </c>
      <c r="V840" s="22">
        <f>ROUND(IF(IFERROR(PROPERTIES[[#This Row],[TE_COEFFICIENT_CALC]],0)=0,PROPERTIES[[#This Row],[TE_COEFFICIENT_MANUAL]],PROPERTIES[[#This Row],[TE_COEFFICIENT_CALC]]),3)</f>
        <v>0.154</v>
      </c>
      <c r="W840" s="33" cm="1">
        <f t="array" ref="W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0" s="32">
        <v>0</v>
      </c>
      <c r="Y840" s="8">
        <v>0</v>
      </c>
      <c r="Z840" s="8" t="s">
        <v>871</v>
      </c>
      <c r="AA840" t="s">
        <v>868</v>
      </c>
      <c r="AB840" s="9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8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9" t="b">
        <v>0</v>
      </c>
    </row>
    <row r="841" spans="1:34">
      <c r="A841" s="2" t="s">
        <v>3114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t="s">
        <v>1773</v>
      </c>
      <c r="F841" t="str">
        <f>_xlfn.XLOOKUP(PROPERTIES[[#This Row],[COUNTRY]],COUNTRIES[COUNTRY_DESCRIPTION],COUNTRIES[COUNTRY_LABEL],"")</f>
        <v>GB</v>
      </c>
      <c r="G841" t="str" cm="1">
        <f t="array" ref="G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1" t="s">
        <v>19</v>
      </c>
      <c r="I841">
        <v>0</v>
      </c>
      <c r="J841">
        <v>6</v>
      </c>
      <c r="K841">
        <v>9</v>
      </c>
      <c r="L841" t="str" cm="1">
        <f t="array" ref="L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1">
        <f>_xlfn.XLOOKUP("LOADINGSPEEDDEF_"&amp;PROPERTIES[[#This Row],[LOADINGSPEED]],LOADINGSPEEDDEF[TYPE],LOADINGSPEEDDEF[SPEED])</f>
        <v>20</v>
      </c>
      <c r="N841" cm="1">
        <f t="array" ref="N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1">
        <f>IF(ISNUMBER(SEARCH("passenger",PROPERTIES[[#This Row],[CARGODEF]])),1,0)</f>
        <v>0</v>
      </c>
      <c r="P841" s="29">
        <v>74</v>
      </c>
      <c r="Q841">
        <v>1150</v>
      </c>
      <c r="R841">
        <v>80</v>
      </c>
      <c r="S841" s="26">
        <v>139.4</v>
      </c>
      <c r="T841" s="26">
        <f>IFERROR(PROPERTIES[[#This Row],[TE_STARTING_KN]]/(PROPERTIES[[#This Row],[WEIGHT]]*9.81),0)</f>
        <v>0.19202688927459569</v>
      </c>
      <c r="U841" s="26">
        <v>0</v>
      </c>
      <c r="V841" s="22">
        <f>ROUND(IF(IFERROR(PROPERTIES[[#This Row],[TE_COEFFICIENT_CALC]],0)=0,PROPERTIES[[#This Row],[TE_COEFFICIENT_MANUAL]],PROPERTIES[[#This Row],[TE_COEFFICIENT_CALC]]),3)</f>
        <v>0.192</v>
      </c>
      <c r="W841" s="33" cm="1">
        <f t="array" ref="W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41" s="32">
        <v>0</v>
      </c>
      <c r="Y841" s="8">
        <v>3</v>
      </c>
      <c r="Z841" s="8" t="s">
        <v>873</v>
      </c>
      <c r="AA841" s="8" t="s">
        <v>871</v>
      </c>
      <c r="AB841" s="9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8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9" t="b">
        <v>0</v>
      </c>
    </row>
    <row r="842" spans="1:34">
      <c r="A842" s="2" t="s">
        <v>3115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t="s">
        <v>1710</v>
      </c>
      <c r="F842" t="str">
        <f>_xlfn.XLOOKUP(PROPERTIES[[#This Row],[COUNTRY]],COUNTRIES[COUNTRY_DESCRIPTION],COUNTRIES[COUNTRY_LABEL],"")</f>
        <v>AU</v>
      </c>
      <c r="G842" t="str" cm="1">
        <f t="array" ref="G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2" t="s">
        <v>19</v>
      </c>
      <c r="I842">
        <v>0</v>
      </c>
      <c r="J842">
        <v>6</v>
      </c>
      <c r="K842">
        <v>10</v>
      </c>
      <c r="L842" t="str" cm="1">
        <f t="array" ref="L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2">
        <f>_xlfn.XLOOKUP("LOADINGSPEEDDEF_"&amp;PROPERTIES[[#This Row],[LOADINGSPEED]],LOADINGSPEEDDEF[TYPE],LOADINGSPEEDDEF[SPEED])</f>
        <v>20</v>
      </c>
      <c r="N842" cm="1">
        <f t="array" ref="N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2">
        <f>IF(ISNUMBER(SEARCH("passenger",PROPERTIES[[#This Row],[CARGODEF]])),1,0)</f>
        <v>0</v>
      </c>
      <c r="P842" s="29">
        <v>203</v>
      </c>
      <c r="Q842">
        <v>2300</v>
      </c>
      <c r="R842">
        <v>115</v>
      </c>
      <c r="S842" s="26">
        <v>162.80000000000001</v>
      </c>
      <c r="T842" s="26">
        <f>IFERROR(PROPERTIES[[#This Row],[TE_STARTING_KN]]/(PROPERTIES[[#This Row],[WEIGHT]]*9.81),0)</f>
        <v>8.175030003565277E-2</v>
      </c>
      <c r="U842" s="26">
        <v>0</v>
      </c>
      <c r="V842" s="22">
        <f>ROUND(IF(IFERROR(PROPERTIES[[#This Row],[TE_COEFFICIENT_CALC]],0)=0,PROPERTIES[[#This Row],[TE_COEFFICIENT_MANUAL]],PROPERTIES[[#This Row],[TE_COEFFICIENT_CALC]]),3)</f>
        <v>8.2000000000000003E-2</v>
      </c>
      <c r="W842" s="33" cm="1">
        <f t="array" ref="W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42" s="32">
        <v>0</v>
      </c>
      <c r="Y842" s="8">
        <v>4</v>
      </c>
      <c r="Z842" s="8" t="s">
        <v>871</v>
      </c>
      <c r="AA842" t="s">
        <v>868</v>
      </c>
      <c r="AB842" s="9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8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9" t="b">
        <v>0</v>
      </c>
    </row>
    <row r="843" spans="1:34">
      <c r="A843" s="2" t="s">
        <v>3117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t="s">
        <v>1710</v>
      </c>
      <c r="F843" t="str">
        <f>_xlfn.XLOOKUP(PROPERTIES[[#This Row],[COUNTRY]],COUNTRIES[COUNTRY_DESCRIPTION],COUNTRIES[COUNTRY_LABEL],"")</f>
        <v>AU</v>
      </c>
      <c r="G843" t="str" cm="1">
        <f t="array" ref="G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3" t="s">
        <v>19</v>
      </c>
      <c r="I843">
        <v>0</v>
      </c>
      <c r="J843">
        <v>7</v>
      </c>
      <c r="K843">
        <v>7</v>
      </c>
      <c r="L843" t="str" cm="1">
        <f t="array" ref="L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3">
        <f>_xlfn.XLOOKUP("LOADINGSPEEDDEF_"&amp;PROPERTIES[[#This Row],[LOADINGSPEED]],LOADINGSPEEDDEF[TYPE],LOADINGSPEEDDEF[SPEED])</f>
        <v>20</v>
      </c>
      <c r="N843" cm="1">
        <f t="array" ref="N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3">
        <f>IF(ISNUMBER(SEARCH("passenger",PROPERTIES[[#This Row],[CARGODEF]])),1,0)</f>
        <v>0</v>
      </c>
      <c r="P843" s="29">
        <v>83</v>
      </c>
      <c r="Q843">
        <v>875</v>
      </c>
      <c r="R843">
        <v>80</v>
      </c>
      <c r="S843" s="26">
        <v>138.83000000000001</v>
      </c>
      <c r="T843" s="26">
        <f>IFERROR(PROPERTIES[[#This Row],[TE_STARTING_KN]]/(PROPERTIES[[#This Row],[WEIGHT]]*9.81),0)</f>
        <v>0.17050464856367367</v>
      </c>
      <c r="U843" s="26">
        <v>0</v>
      </c>
      <c r="V843" s="22">
        <f>ROUND(IF(IFERROR(PROPERTIES[[#This Row],[TE_COEFFICIENT_CALC]],0)=0,PROPERTIES[[#This Row],[TE_COEFFICIENT_MANUAL]],PROPERTIES[[#This Row],[TE_COEFFICIENT_CALC]]),3)</f>
        <v>0.17100000000000001</v>
      </c>
      <c r="W843" s="33" cm="1">
        <f t="array" ref="W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843" s="32">
        <v>0</v>
      </c>
      <c r="Y843" s="8">
        <v>0</v>
      </c>
      <c r="Z843" s="8" t="s">
        <v>871</v>
      </c>
      <c r="AA843" t="s">
        <v>868</v>
      </c>
      <c r="AB843" s="9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8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9" t="b">
        <v>0</v>
      </c>
    </row>
    <row r="844" spans="1:34">
      <c r="A844" s="2" t="s">
        <v>3119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t="s">
        <v>1710</v>
      </c>
      <c r="F844" t="str">
        <f>_xlfn.XLOOKUP(PROPERTIES[[#This Row],[COUNTRY]],COUNTRIES[COUNTRY_DESCRIPTION],COUNTRIES[COUNTRY_LABEL],"")</f>
        <v>AU</v>
      </c>
      <c r="G844" t="str" cm="1">
        <f t="array" ref="G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4" t="s">
        <v>19</v>
      </c>
      <c r="I844">
        <v>0</v>
      </c>
      <c r="J844">
        <v>7</v>
      </c>
      <c r="K844">
        <v>12</v>
      </c>
      <c r="L844" t="str" cm="1">
        <f t="array" ref="L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4">
        <f>_xlfn.XLOOKUP("LOADINGSPEEDDEF_"&amp;PROPERTIES[[#This Row],[LOADINGSPEED]],LOADINGSPEEDDEF[TYPE],LOADINGSPEEDDEF[SPEED])</f>
        <v>20</v>
      </c>
      <c r="N844" cm="1">
        <f t="array" ref="N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4">
        <f>IF(ISNUMBER(SEARCH("passenger",PROPERTIES[[#This Row],[CARGODEF]])),1,0)</f>
        <v>0</v>
      </c>
      <c r="P844" s="29">
        <v>260</v>
      </c>
      <c r="Q844">
        <v>3600</v>
      </c>
      <c r="R844">
        <v>80</v>
      </c>
      <c r="S844" s="26">
        <v>245</v>
      </c>
      <c r="T844" s="26">
        <f>IFERROR(PROPERTIES[[#This Row],[TE_STARTING_KN]]/(PROPERTIES[[#This Row],[WEIGHT]]*9.81),0)</f>
        <v>9.6055830000784131E-2</v>
      </c>
      <c r="U844" s="26">
        <v>0</v>
      </c>
      <c r="V844" s="22">
        <f>ROUND(IF(IFERROR(PROPERTIES[[#This Row],[TE_COEFFICIENT_CALC]],0)=0,PROPERTIES[[#This Row],[TE_COEFFICIENT_MANUAL]],PROPERTIES[[#This Row],[TE_COEFFICIENT_CALC]]),3)</f>
        <v>9.6000000000000002E-2</v>
      </c>
      <c r="W844" s="33" cm="1">
        <f t="array" ref="W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4" s="32">
        <v>0</v>
      </c>
      <c r="Y844" s="8">
        <v>5</v>
      </c>
      <c r="Z844" s="8" t="s">
        <v>871</v>
      </c>
      <c r="AA844" t="s">
        <v>868</v>
      </c>
      <c r="AB844" s="9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8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9" t="b">
        <v>0</v>
      </c>
    </row>
    <row r="845" spans="1:34">
      <c r="A845" s="2" t="s">
        <v>3124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t="s">
        <v>1710</v>
      </c>
      <c r="F845" t="str">
        <f>_xlfn.XLOOKUP(PROPERTIES[[#This Row],[COUNTRY]],COUNTRIES[COUNTRY_DESCRIPTION],COUNTRIES[COUNTRY_LABEL],"")</f>
        <v>AU</v>
      </c>
      <c r="G845" t="str" cm="1">
        <f t="array" ref="G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5" t="s">
        <v>19</v>
      </c>
      <c r="I845">
        <v>0</v>
      </c>
      <c r="J845">
        <v>6</v>
      </c>
      <c r="K845">
        <v>6</v>
      </c>
      <c r="L845" t="str" cm="1">
        <f t="array" ref="L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5">
        <f>_xlfn.XLOOKUP("LOADINGSPEEDDEF_"&amp;PROPERTIES[[#This Row],[LOADINGSPEED]],LOADINGSPEEDDEF[TYPE],LOADINGSPEEDDEF[SPEED])</f>
        <v>20</v>
      </c>
      <c r="N845" cm="1">
        <f t="array" ref="N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5">
        <f>IF(ISNUMBER(SEARCH("passenger",PROPERTIES[[#This Row],[CARGODEF]])),1,0)</f>
        <v>0</v>
      </c>
      <c r="P845" s="29">
        <v>83</v>
      </c>
      <c r="Q845">
        <v>400</v>
      </c>
      <c r="R845">
        <v>92</v>
      </c>
      <c r="S845" s="26">
        <v>150</v>
      </c>
      <c r="T845" s="26">
        <f>IFERROR(PROPERTIES[[#This Row],[TE_STARTING_KN]]/(PROPERTIES[[#This Row],[WEIGHT]]*9.81),0)</f>
        <v>0.18422313105633542</v>
      </c>
      <c r="U845" s="26">
        <v>0</v>
      </c>
      <c r="V845" s="22">
        <f>ROUND(IF(IFERROR(PROPERTIES[[#This Row],[TE_COEFFICIENT_CALC]],0)=0,PROPERTIES[[#This Row],[TE_COEFFICIENT_MANUAL]],PROPERTIES[[#This Row],[TE_COEFFICIENT_CALC]]),3)</f>
        <v>0.184</v>
      </c>
      <c r="W845" s="33" cm="1">
        <f t="array" ref="W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5" s="32">
        <v>0</v>
      </c>
      <c r="Y845" s="8">
        <v>0</v>
      </c>
      <c r="Z845" s="8" t="s">
        <v>871</v>
      </c>
      <c r="AA845" t="s">
        <v>868</v>
      </c>
      <c r="AB845" s="9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8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9" t="b">
        <v>0</v>
      </c>
    </row>
    <row r="846" spans="1:34">
      <c r="A846" s="2" t="s">
        <v>3127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t="s">
        <v>1710</v>
      </c>
      <c r="F846" t="str">
        <f>_xlfn.XLOOKUP(PROPERTIES[[#This Row],[COUNTRY]],COUNTRIES[COUNTRY_DESCRIPTION],COUNTRIES[COUNTRY_LABEL],"")</f>
        <v>AU</v>
      </c>
      <c r="G846" t="str" cm="1">
        <f t="array" ref="G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6" t="s">
        <v>19</v>
      </c>
      <c r="I846">
        <v>0</v>
      </c>
      <c r="J846">
        <v>6</v>
      </c>
      <c r="K846">
        <v>6</v>
      </c>
      <c r="L846" t="str" cm="1">
        <f t="array" ref="L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6">
        <f>_xlfn.XLOOKUP("LOADINGSPEEDDEF_"&amp;PROPERTIES[[#This Row],[LOADINGSPEED]],LOADINGSPEEDDEF[TYPE],LOADINGSPEEDDEF[SPEED])</f>
        <v>20</v>
      </c>
      <c r="N846" cm="1">
        <f t="array" ref="N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6">
        <f>IF(ISNUMBER(SEARCH("passenger",PROPERTIES[[#This Row],[CARGODEF]])),1,0)</f>
        <v>0</v>
      </c>
      <c r="P846" s="29">
        <v>75.2</v>
      </c>
      <c r="Q846">
        <v>1050</v>
      </c>
      <c r="R846">
        <v>100</v>
      </c>
      <c r="S846" s="26">
        <v>178.82</v>
      </c>
      <c r="T846" s="26">
        <f>IFERROR(PROPERTIES[[#This Row],[TE_STARTING_KN]]/(PROPERTIES[[#This Row],[WEIGHT]]*9.81),0)</f>
        <v>0.24239811742251716</v>
      </c>
      <c r="U846" s="26">
        <v>0</v>
      </c>
      <c r="V846" s="22">
        <f>ROUND(IF(IFERROR(PROPERTIES[[#This Row],[TE_COEFFICIENT_CALC]],0)=0,PROPERTIES[[#This Row],[TE_COEFFICIENT_MANUAL]],PROPERTIES[[#This Row],[TE_COEFFICIENT_CALC]]),3)</f>
        <v>0.24199999999999999</v>
      </c>
      <c r="W846" s="33" cm="1">
        <f t="array" ref="W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6" s="32">
        <v>0</v>
      </c>
      <c r="Y846" s="8">
        <v>0</v>
      </c>
      <c r="Z846" s="8" t="s">
        <v>882</v>
      </c>
      <c r="AA846" t="s">
        <v>868</v>
      </c>
      <c r="AB846" s="9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8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9" t="b">
        <v>0</v>
      </c>
    </row>
    <row r="847" spans="1:34">
      <c r="A847" s="2" t="s">
        <v>3130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t="s">
        <v>1928</v>
      </c>
      <c r="F847" t="str">
        <f>_xlfn.XLOOKUP(PROPERTIES[[#This Row],[COUNTRY]],COUNTRIES[COUNTRY_DESCRIPTION],COUNTRIES[COUNTRY_LABEL],"")</f>
        <v>US</v>
      </c>
      <c r="G847" t="str" cm="1">
        <f t="array" ref="G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7" t="s">
        <v>19</v>
      </c>
      <c r="I847">
        <v>0</v>
      </c>
      <c r="J847">
        <v>7</v>
      </c>
      <c r="K847">
        <v>7</v>
      </c>
      <c r="L847" t="str" cm="1">
        <f t="array" ref="L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7">
        <f>_xlfn.XLOOKUP("LOADINGSPEEDDEF_"&amp;PROPERTIES[[#This Row],[LOADINGSPEED]],LOADINGSPEEDDEF[TYPE],LOADINGSPEEDDEF[SPEED])</f>
        <v>20</v>
      </c>
      <c r="N847" t="str" cm="1">
        <f t="array" ref="N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47">
        <f>IF(ISNUMBER(SEARCH("passenger",PROPERTIES[[#This Row],[CARGODEF]])),1,0)</f>
        <v>0</v>
      </c>
      <c r="P847" s="29">
        <v>110</v>
      </c>
      <c r="Q847">
        <v>1600</v>
      </c>
      <c r="R847">
        <v>113</v>
      </c>
      <c r="S847" s="26">
        <v>270.8</v>
      </c>
      <c r="T847" s="26">
        <f>IFERROR(PROPERTIES[[#This Row],[TE_STARTING_KN]]/(PROPERTIES[[#This Row],[WEIGHT]]*9.81),0)</f>
        <v>0.2509498656287647</v>
      </c>
      <c r="U847" s="26">
        <v>0</v>
      </c>
      <c r="V847" s="22">
        <f>ROUND(IF(IFERROR(PROPERTIES[[#This Row],[TE_COEFFICIENT_CALC]],0)=0,PROPERTIES[[#This Row],[TE_COEFFICIENT_MANUAL]],PROPERTIES[[#This Row],[TE_COEFFICIENT_CALC]]),3)</f>
        <v>0.251</v>
      </c>
      <c r="W847" s="33" cm="1">
        <f t="array" ref="W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X847" s="32">
        <v>0</v>
      </c>
      <c r="Y847" s="8">
        <v>0</v>
      </c>
      <c r="Z847" s="8" t="s">
        <v>882</v>
      </c>
      <c r="AA847" t="s">
        <v>868</v>
      </c>
      <c r="AB847" s="9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8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9" t="b">
        <v>0</v>
      </c>
    </row>
    <row r="848" spans="1:34">
      <c r="A848" s="2" t="s">
        <v>3131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t="s">
        <v>1710</v>
      </c>
      <c r="F848" t="str">
        <f>_xlfn.XLOOKUP(PROPERTIES[[#This Row],[COUNTRY]],COUNTRIES[COUNTRY_DESCRIPTION],COUNTRIES[COUNTRY_LABEL],"")</f>
        <v>AU</v>
      </c>
      <c r="G848" t="str" cm="1">
        <f t="array" ref="G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8" t="s">
        <v>19</v>
      </c>
      <c r="I848">
        <v>0</v>
      </c>
      <c r="J848">
        <v>8</v>
      </c>
      <c r="K848">
        <v>8</v>
      </c>
      <c r="L848" t="str" cm="1">
        <f t="array" ref="L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8">
        <f>_xlfn.XLOOKUP("LOADINGSPEEDDEF_"&amp;PROPERTIES[[#This Row],[LOADINGSPEED]],LOADINGSPEEDDEF[TYPE],LOADINGSPEEDDEF[SPEED])</f>
        <v>20</v>
      </c>
      <c r="N848" cm="1">
        <f t="array" ref="N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8">
        <f>IF(ISNUMBER(SEARCH("passenger",PROPERTIES[[#This Row],[CARGODEF]])),1,0)</f>
        <v>0</v>
      </c>
      <c r="P848" s="29">
        <v>114</v>
      </c>
      <c r="Q848">
        <v>1750</v>
      </c>
      <c r="R848">
        <v>145</v>
      </c>
      <c r="S848" s="26">
        <v>251</v>
      </c>
      <c r="T848" s="26">
        <f>IFERROR(PROPERTIES[[#This Row],[TE_STARTING_KN]]/(PROPERTIES[[#This Row],[WEIGHT]]*9.81),0)</f>
        <v>0.22443979469570968</v>
      </c>
      <c r="U848" s="26">
        <v>0</v>
      </c>
      <c r="V848" s="22">
        <f>ROUND(IF(IFERROR(PROPERTIES[[#This Row],[TE_COEFFICIENT_CALC]],0)=0,PROPERTIES[[#This Row],[TE_COEFFICIENT_MANUAL]],PROPERTIES[[#This Row],[TE_COEFFICIENT_CALC]]),3)</f>
        <v>0.224</v>
      </c>
      <c r="W848" s="33" cm="1">
        <f t="array" ref="W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8" s="32">
        <v>0</v>
      </c>
      <c r="Y848" s="8">
        <v>0</v>
      </c>
      <c r="Z848" s="8" t="s">
        <v>871</v>
      </c>
      <c r="AA848" t="s">
        <v>868</v>
      </c>
      <c r="AB848" s="9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8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9" t="b">
        <v>0</v>
      </c>
    </row>
    <row r="849" spans="1:34">
      <c r="A849" s="2" t="s">
        <v>3133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t="s">
        <v>1710</v>
      </c>
      <c r="F849" t="str">
        <f>_xlfn.XLOOKUP(PROPERTIES[[#This Row],[COUNTRY]],COUNTRIES[COUNTRY_DESCRIPTION],COUNTRIES[COUNTRY_LABEL],"")</f>
        <v>AU</v>
      </c>
      <c r="G849" t="str" cm="1">
        <f t="array" ref="G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9" t="s">
        <v>19</v>
      </c>
      <c r="I849">
        <v>0</v>
      </c>
      <c r="J849">
        <v>8</v>
      </c>
      <c r="K849">
        <v>8</v>
      </c>
      <c r="L849" t="str" cm="1">
        <f t="array" ref="L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9">
        <f>_xlfn.XLOOKUP("LOADINGSPEEDDEF_"&amp;PROPERTIES[[#This Row],[LOADINGSPEED]],LOADINGSPEEDDEF[TYPE],LOADINGSPEEDDEF[SPEED])</f>
        <v>20</v>
      </c>
      <c r="N849" cm="1">
        <f t="array" ref="N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9">
        <f>IF(ISNUMBER(SEARCH("passenger",PROPERTIES[[#This Row],[CARGODEF]])),1,0)</f>
        <v>0</v>
      </c>
      <c r="P849" s="29">
        <v>120</v>
      </c>
      <c r="Q849">
        <v>2476</v>
      </c>
      <c r="R849">
        <v>133</v>
      </c>
      <c r="S849" s="26">
        <v>294</v>
      </c>
      <c r="T849" s="26">
        <f>IFERROR(PROPERTIES[[#This Row],[TE_STARTING_KN]]/(PROPERTIES[[#This Row],[WEIGHT]]*9.81),0)</f>
        <v>0.24974515800203873</v>
      </c>
      <c r="U849" s="26">
        <v>0</v>
      </c>
      <c r="V849" s="22">
        <f>ROUND(IF(IFERROR(PROPERTIES[[#This Row],[TE_COEFFICIENT_CALC]],0)=0,PROPERTIES[[#This Row],[TE_COEFFICIENT_MANUAL]],PROPERTIES[[#This Row],[TE_COEFFICIENT_CALC]]),3)</f>
        <v>0.25</v>
      </c>
      <c r="W849" s="33" cm="1">
        <f t="array" ref="W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9" s="32">
        <v>0</v>
      </c>
      <c r="Y849" s="8">
        <v>0</v>
      </c>
      <c r="Z849" s="8" t="s">
        <v>871</v>
      </c>
      <c r="AA849" t="s">
        <v>868</v>
      </c>
      <c r="AB849" s="9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8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9" t="b">
        <v>1</v>
      </c>
    </row>
    <row r="850" spans="1:34">
      <c r="A850" s="2" t="s">
        <v>3137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t="s">
        <v>1710</v>
      </c>
      <c r="F850" t="str">
        <f>_xlfn.XLOOKUP(PROPERTIES[[#This Row],[COUNTRY]],COUNTRIES[COUNTRY_DESCRIPTION],COUNTRIES[COUNTRY_LABEL],"")</f>
        <v>AU</v>
      </c>
      <c r="G850" t="str" cm="1">
        <f t="array" ref="G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0" t="s">
        <v>19</v>
      </c>
      <c r="I850">
        <v>0</v>
      </c>
      <c r="J850">
        <v>8</v>
      </c>
      <c r="K850">
        <v>8</v>
      </c>
      <c r="L850" t="str" cm="1">
        <f t="array" ref="L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0">
        <f>_xlfn.XLOOKUP("LOADINGSPEEDDEF_"&amp;PROPERTIES[[#This Row],[LOADINGSPEED]],LOADINGSPEEDDEF[TYPE],LOADINGSPEEDDEF[SPEED])</f>
        <v>20</v>
      </c>
      <c r="N850" cm="1">
        <f t="array" ref="N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0">
        <f>IF(ISNUMBER(SEARCH("passenger",PROPERTIES[[#This Row],[CARGODEF]])),1,0)</f>
        <v>0</v>
      </c>
      <c r="P850" s="29">
        <v>122</v>
      </c>
      <c r="Q850">
        <v>1750</v>
      </c>
      <c r="R850">
        <v>114</v>
      </c>
      <c r="S850" s="26">
        <v>300</v>
      </c>
      <c r="T850" s="26">
        <f>IFERROR(PROPERTIES[[#This Row],[TE_STARTING_KN]]/(PROPERTIES[[#This Row],[WEIGHT]]*9.81),0)</f>
        <v>0.25066426028976785</v>
      </c>
      <c r="U850" s="26">
        <v>0</v>
      </c>
      <c r="V850" s="22">
        <f>ROUND(IF(IFERROR(PROPERTIES[[#This Row],[TE_COEFFICIENT_CALC]],0)=0,PROPERTIES[[#This Row],[TE_COEFFICIENT_MANUAL]],PROPERTIES[[#This Row],[TE_COEFFICIENT_CALC]]),3)</f>
        <v>0.251</v>
      </c>
      <c r="W850" s="33" cm="1">
        <f t="array" ref="W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0" s="32">
        <v>0</v>
      </c>
      <c r="Y850" s="8">
        <v>0</v>
      </c>
      <c r="Z850" s="8" t="s">
        <v>871</v>
      </c>
      <c r="AA850" t="s">
        <v>868</v>
      </c>
      <c r="AB850" s="9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8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9" t="b">
        <v>0</v>
      </c>
    </row>
    <row r="851" spans="1:34">
      <c r="A851" s="2" t="s">
        <v>3139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t="s">
        <v>1710</v>
      </c>
      <c r="F851" t="str">
        <f>_xlfn.XLOOKUP(PROPERTIES[[#This Row],[COUNTRY]],COUNTRIES[COUNTRY_DESCRIPTION],COUNTRIES[COUNTRY_LABEL],"")</f>
        <v>AU</v>
      </c>
      <c r="G851" t="str" cm="1">
        <f t="array" ref="G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1" t="s">
        <v>19</v>
      </c>
      <c r="I851">
        <v>0</v>
      </c>
      <c r="J851">
        <v>8</v>
      </c>
      <c r="K851">
        <v>8</v>
      </c>
      <c r="L851" t="str" cm="1">
        <f t="array" ref="L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1">
        <f>_xlfn.XLOOKUP("LOADINGSPEEDDEF_"&amp;PROPERTIES[[#This Row],[LOADINGSPEED]],LOADINGSPEEDDEF[TYPE],LOADINGSPEEDDEF[SPEED])</f>
        <v>20</v>
      </c>
      <c r="N851" t="str" cm="1">
        <f t="array" ref="N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1">
        <f>IF(ISNUMBER(SEARCH("passenger",PROPERTIES[[#This Row],[CARGODEF]])),1,0)</f>
        <v>0</v>
      </c>
      <c r="P851" s="29">
        <v>121</v>
      </c>
      <c r="Q851">
        <v>3030</v>
      </c>
      <c r="R851">
        <v>153</v>
      </c>
      <c r="S851" s="26">
        <v>370</v>
      </c>
      <c r="T851" s="26">
        <f>IFERROR(PROPERTIES[[#This Row],[TE_STARTING_KN]]/(PROPERTIES[[#This Row],[WEIGHT]]*9.81),0)</f>
        <v>0.31170756775427333</v>
      </c>
      <c r="U851" s="26">
        <v>0</v>
      </c>
      <c r="V851" s="22">
        <f>ROUND(IF(IFERROR(PROPERTIES[[#This Row],[TE_COEFFICIENT_CALC]],0)=0,PROPERTIES[[#This Row],[TE_COEFFICIENT_MANUAL]],PROPERTIES[[#This Row],[TE_COEFFICIENT_CALC]]),3)</f>
        <v>0.312</v>
      </c>
      <c r="W851" s="33" cm="1">
        <f t="array" ref="W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1" s="32">
        <v>0</v>
      </c>
      <c r="Y851" s="8">
        <v>0</v>
      </c>
      <c r="Z851" s="8" t="s">
        <v>871</v>
      </c>
      <c r="AA851" t="s">
        <v>868</v>
      </c>
      <c r="AB851" s="9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8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9" t="b">
        <v>0</v>
      </c>
    </row>
    <row r="852" spans="1:34">
      <c r="A852" s="2" t="s">
        <v>3144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t="s">
        <v>1710</v>
      </c>
      <c r="F852" t="str">
        <f>_xlfn.XLOOKUP(PROPERTIES[[#This Row],[COUNTRY]],COUNTRIES[COUNTRY_DESCRIPTION],COUNTRIES[COUNTRY_LABEL],"")</f>
        <v>AU</v>
      </c>
      <c r="G852" t="str" cm="1">
        <f t="array" ref="G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52" t="s">
        <v>19</v>
      </c>
      <c r="I852">
        <v>0</v>
      </c>
      <c r="J852">
        <v>8</v>
      </c>
      <c r="K852">
        <v>8</v>
      </c>
      <c r="L852" t="str" cm="1">
        <f t="array" ref="L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2">
        <f>_xlfn.XLOOKUP("LOADINGSPEEDDEF_"&amp;PROPERTIES[[#This Row],[LOADINGSPEED]],LOADINGSPEEDDEF[TYPE],LOADINGSPEEDDEF[SPEED])</f>
        <v>20</v>
      </c>
      <c r="N852" t="str" cm="1">
        <f t="array" ref="N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2">
        <f>IF(ISNUMBER(SEARCH("passenger",PROPERTIES[[#This Row],[CARGODEF]])),1,0)</f>
        <v>0</v>
      </c>
      <c r="P852" s="29">
        <v>109.8</v>
      </c>
      <c r="Q852">
        <v>3880</v>
      </c>
      <c r="R852">
        <v>80</v>
      </c>
      <c r="S852" s="26">
        <v>341</v>
      </c>
      <c r="T852" s="26">
        <f>IFERROR(PROPERTIES[[#This Row],[TE_STARTING_KN]]/(PROPERTIES[[#This Row],[WEIGHT]]*9.81),0)</f>
        <v>0.31657967688448463</v>
      </c>
      <c r="U852" s="26">
        <v>0</v>
      </c>
      <c r="V852" s="22">
        <f>ROUND(IF(IFERROR(PROPERTIES[[#This Row],[TE_COEFFICIENT_CALC]],0)=0,PROPERTIES[[#This Row],[TE_COEFFICIENT_MANUAL]],PROPERTIES[[#This Row],[TE_COEFFICIENT_CALC]]),3)</f>
        <v>0.317</v>
      </c>
      <c r="W852" s="33" cm="1">
        <f t="array" ref="W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2" s="32">
        <v>0</v>
      </c>
      <c r="Y852" s="8">
        <v>0</v>
      </c>
      <c r="Z852" s="8" t="s">
        <v>871</v>
      </c>
      <c r="AA852" t="s">
        <v>868</v>
      </c>
      <c r="AB852" s="9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8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9" t="b">
        <v>0</v>
      </c>
    </row>
    <row r="853" spans="1:34">
      <c r="A853" s="2" t="s">
        <v>3145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t="s">
        <v>1710</v>
      </c>
      <c r="F853" t="str">
        <f>_xlfn.XLOOKUP(PROPERTIES[[#This Row],[COUNTRY]],COUNTRIES[COUNTRY_DESCRIPTION],COUNTRIES[COUNTRY_LABEL],"")</f>
        <v>AU</v>
      </c>
      <c r="G853" t="str" cm="1">
        <f t="array" ref="G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3" t="s">
        <v>19</v>
      </c>
      <c r="I853">
        <v>0</v>
      </c>
      <c r="J853">
        <v>8</v>
      </c>
      <c r="K853">
        <v>8</v>
      </c>
      <c r="L853" t="str" cm="1">
        <f t="array" ref="L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3">
        <f>_xlfn.XLOOKUP("LOADINGSPEEDDEF_"&amp;PROPERTIES[[#This Row],[LOADINGSPEED]],LOADINGSPEEDDEF[TYPE],LOADINGSPEEDDEF[SPEED])</f>
        <v>20</v>
      </c>
      <c r="N853" t="str" cm="1">
        <f t="array" ref="N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3">
        <f>IF(ISNUMBER(SEARCH("passenger",PROPERTIES[[#This Row],[CARGODEF]])),1,0)</f>
        <v>0</v>
      </c>
      <c r="P853" s="29">
        <v>165</v>
      </c>
      <c r="Q853">
        <v>4060</v>
      </c>
      <c r="R853">
        <v>115</v>
      </c>
      <c r="S853" s="26">
        <v>470</v>
      </c>
      <c r="T853" s="26">
        <f>IFERROR(PROPERTIES[[#This Row],[TE_STARTING_KN]]/(PROPERTIES[[#This Row],[WEIGHT]]*9.81),0)</f>
        <v>0.29036542798010684</v>
      </c>
      <c r="U853" s="26">
        <v>0</v>
      </c>
      <c r="V853" s="22">
        <f>ROUND(IF(IFERROR(PROPERTIES[[#This Row],[TE_COEFFICIENT_CALC]],0)=0,PROPERTIES[[#This Row],[TE_COEFFICIENT_MANUAL]],PROPERTIES[[#This Row],[TE_COEFFICIENT_CALC]]),3)</f>
        <v>0.28999999999999998</v>
      </c>
      <c r="W853" s="33" cm="1">
        <f t="array" ref="W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3" s="32">
        <v>0</v>
      </c>
      <c r="Y853" s="8">
        <v>0</v>
      </c>
      <c r="Z853" s="8" t="s">
        <v>871</v>
      </c>
      <c r="AA853" t="s">
        <v>868</v>
      </c>
      <c r="AB853" s="9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8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9" t="b">
        <v>0</v>
      </c>
    </row>
    <row r="854" spans="1:34">
      <c r="A854" s="2" t="s">
        <v>3148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t="s">
        <v>1710</v>
      </c>
      <c r="F854" t="str">
        <f>_xlfn.XLOOKUP(PROPERTIES[[#This Row],[COUNTRY]],COUNTRIES[COUNTRY_DESCRIPTION],COUNTRIES[COUNTRY_LABEL],"")</f>
        <v>AU</v>
      </c>
      <c r="G854" t="str" cm="1">
        <f t="array" ref="G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4" t="s">
        <v>19</v>
      </c>
      <c r="I854">
        <v>0</v>
      </c>
      <c r="J854">
        <v>8</v>
      </c>
      <c r="K854">
        <v>8</v>
      </c>
      <c r="L854" t="str" cm="1">
        <f t="array" ref="L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4">
        <f>_xlfn.XLOOKUP("LOADINGSPEEDDEF_"&amp;PROPERTIES[[#This Row],[LOADINGSPEED]],LOADINGSPEEDDEF[TYPE],LOADINGSPEEDDEF[SPEED])</f>
        <v>20</v>
      </c>
      <c r="N854" t="str" cm="1">
        <f t="array" ref="N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4">
        <f>IF(ISNUMBER(SEARCH("passenger",PROPERTIES[[#This Row],[CARGODEF]])),1,0)</f>
        <v>0</v>
      </c>
      <c r="P854" s="29">
        <v>132</v>
      </c>
      <c r="Q854">
        <v>4000</v>
      </c>
      <c r="R854">
        <v>115</v>
      </c>
      <c r="S854" s="26">
        <v>450</v>
      </c>
      <c r="T854" s="26">
        <f>IFERROR(PROPERTIES[[#This Row],[TE_STARTING_KN]]/(PROPERTIES[[#This Row],[WEIGHT]]*9.81),0)</f>
        <v>0.34751181540172366</v>
      </c>
      <c r="U854" s="26">
        <v>0</v>
      </c>
      <c r="V854" s="22">
        <f>ROUND(IF(IFERROR(PROPERTIES[[#This Row],[TE_COEFFICIENT_CALC]],0)=0,PROPERTIES[[#This Row],[TE_COEFFICIENT_MANUAL]],PROPERTIES[[#This Row],[TE_COEFFICIENT_CALC]]),3)</f>
        <v>0.34799999999999998</v>
      </c>
      <c r="W854" s="33" cm="1">
        <f t="array" ref="W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4" s="32">
        <v>0</v>
      </c>
      <c r="Y854" s="8">
        <v>0</v>
      </c>
      <c r="Z854" s="8" t="s">
        <v>871</v>
      </c>
      <c r="AA854" t="s">
        <v>868</v>
      </c>
      <c r="AB854" s="9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8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9" t="b">
        <v>0</v>
      </c>
    </row>
    <row r="855" spans="1:34">
      <c r="A855" s="2" t="s">
        <v>3151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t="s">
        <v>1710</v>
      </c>
      <c r="F855" t="str">
        <f>_xlfn.XLOOKUP(PROPERTIES[[#This Row],[COUNTRY]],COUNTRIES[COUNTRY_DESCRIPTION],COUNTRIES[COUNTRY_LABEL],"")</f>
        <v>AU</v>
      </c>
      <c r="G855" t="str" cm="1">
        <f t="array" ref="G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5" t="s">
        <v>19</v>
      </c>
      <c r="I855">
        <v>0</v>
      </c>
      <c r="J855">
        <v>8</v>
      </c>
      <c r="K855">
        <v>8</v>
      </c>
      <c r="L855" t="str" cm="1">
        <f t="array" ref="L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5">
        <f>_xlfn.XLOOKUP("LOADINGSPEEDDEF_"&amp;PROPERTIES[[#This Row],[LOADINGSPEED]],LOADINGSPEEDDEF[TYPE],LOADINGSPEEDDEF[SPEED])</f>
        <v>20</v>
      </c>
      <c r="N855" cm="1">
        <f t="array" ref="N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5">
        <f>IF(ISNUMBER(SEARCH("passenger",PROPERTIES[[#This Row],[CARGODEF]])),1,0)</f>
        <v>0</v>
      </c>
      <c r="P855" s="29">
        <v>108</v>
      </c>
      <c r="Q855">
        <v>2250</v>
      </c>
      <c r="R855">
        <v>115</v>
      </c>
      <c r="S855" s="26">
        <v>310</v>
      </c>
      <c r="T855" s="26">
        <f>IFERROR(PROPERTIES[[#This Row],[TE_STARTING_KN]]/(PROPERTIES[[#This Row],[WEIGHT]]*9.81),0)</f>
        <v>0.29259636802959943</v>
      </c>
      <c r="U855" s="26">
        <v>0</v>
      </c>
      <c r="V855" s="22">
        <f>ROUND(IF(IFERROR(PROPERTIES[[#This Row],[TE_COEFFICIENT_CALC]],0)=0,PROPERTIES[[#This Row],[TE_COEFFICIENT_MANUAL]],PROPERTIES[[#This Row],[TE_COEFFICIENT_CALC]]),3)</f>
        <v>0.29299999999999998</v>
      </c>
      <c r="W855" s="33" cm="1">
        <f t="array" ref="W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5" s="32">
        <v>0</v>
      </c>
      <c r="Y855" s="8">
        <v>0</v>
      </c>
      <c r="Z855" s="8" t="s">
        <v>871</v>
      </c>
      <c r="AA855" t="s">
        <v>868</v>
      </c>
      <c r="AB855" s="9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8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9" t="b">
        <v>0</v>
      </c>
    </row>
    <row r="856" spans="1:34">
      <c r="A856" s="2" t="s">
        <v>3153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t="s">
        <v>1710</v>
      </c>
      <c r="F856" t="str">
        <f>_xlfn.XLOOKUP(PROPERTIES[[#This Row],[COUNTRY]],COUNTRIES[COUNTRY_DESCRIPTION],COUNTRIES[COUNTRY_LABEL],"")</f>
        <v>AU</v>
      </c>
      <c r="G856" t="str" cm="1">
        <f t="array" ref="G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6" t="s">
        <v>19</v>
      </c>
      <c r="I856">
        <v>0</v>
      </c>
      <c r="J856">
        <v>8</v>
      </c>
      <c r="K856">
        <v>8</v>
      </c>
      <c r="L856" t="str" cm="1">
        <f t="array" ref="L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6">
        <f>_xlfn.XLOOKUP("LOADINGSPEEDDEF_"&amp;PROPERTIES[[#This Row],[LOADINGSPEED]],LOADINGSPEEDDEF[TYPE],LOADINGSPEEDDEF[SPEED])</f>
        <v>20</v>
      </c>
      <c r="N856" t="str" cm="1">
        <f t="array" ref="N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6">
        <f>IF(ISNUMBER(SEARCH("passenger",PROPERTIES[[#This Row],[CARGODEF]])),1,0)</f>
        <v>0</v>
      </c>
      <c r="P856" s="29">
        <v>123</v>
      </c>
      <c r="Q856">
        <v>2476</v>
      </c>
      <c r="R856">
        <v>130</v>
      </c>
      <c r="S856" s="26">
        <v>289</v>
      </c>
      <c r="T856" s="26">
        <f>IFERROR(PROPERTIES[[#This Row],[TE_STARTING_KN]]/(PROPERTIES[[#This Row],[WEIGHT]]*9.81),0)</f>
        <v>0.23951004036034243</v>
      </c>
      <c r="U856" s="26">
        <v>0</v>
      </c>
      <c r="V856" s="22">
        <f>ROUND(IF(IFERROR(PROPERTIES[[#This Row],[TE_COEFFICIENT_CALC]],0)=0,PROPERTIES[[#This Row],[TE_COEFFICIENT_MANUAL]],PROPERTIES[[#This Row],[TE_COEFFICIENT_CALC]]),3)</f>
        <v>0.24</v>
      </c>
      <c r="W856" s="33" cm="1">
        <f t="array" ref="W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56" s="32">
        <v>0</v>
      </c>
      <c r="Y856" s="8">
        <v>0</v>
      </c>
      <c r="Z856" s="8" t="s">
        <v>871</v>
      </c>
      <c r="AA856" t="s">
        <v>868</v>
      </c>
      <c r="AB856" s="9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8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9" t="b">
        <v>0</v>
      </c>
    </row>
    <row r="857" spans="1:34">
      <c r="A857" s="2" t="s">
        <v>3155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t="s">
        <v>1710</v>
      </c>
      <c r="F857" t="str">
        <f>_xlfn.XLOOKUP(PROPERTIES[[#This Row],[COUNTRY]],COUNTRIES[COUNTRY_DESCRIPTION],COUNTRIES[COUNTRY_LABEL],"")</f>
        <v>AU</v>
      </c>
      <c r="G857" t="str" cm="1">
        <f t="array" ref="G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7" t="s">
        <v>19</v>
      </c>
      <c r="I857">
        <v>0</v>
      </c>
      <c r="J857">
        <v>8</v>
      </c>
      <c r="K857">
        <v>8</v>
      </c>
      <c r="L857" t="str" cm="1">
        <f t="array" ref="L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7">
        <f>_xlfn.XLOOKUP("LOADINGSPEEDDEF_"&amp;PROPERTIES[[#This Row],[LOADINGSPEED]],LOADINGSPEEDDEF[TYPE],LOADINGSPEEDDEF[SPEED])</f>
        <v>20</v>
      </c>
      <c r="N857" t="str" cm="1">
        <f t="array" ref="N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7">
        <f>IF(ISNUMBER(SEARCH("passenger",PROPERTIES[[#This Row],[CARGODEF]])),1,0)</f>
        <v>0</v>
      </c>
      <c r="P857" s="29">
        <v>129</v>
      </c>
      <c r="Q857">
        <v>3300</v>
      </c>
      <c r="R857">
        <v>115</v>
      </c>
      <c r="S857" s="26">
        <v>370</v>
      </c>
      <c r="T857" s="26">
        <f>IFERROR(PROPERTIES[[#This Row],[TE_STARTING_KN]]/(PROPERTIES[[#This Row],[WEIGHT]]*9.81),0)</f>
        <v>0.29237686587803935</v>
      </c>
      <c r="U857" s="26">
        <v>0</v>
      </c>
      <c r="V857" s="22">
        <f>ROUND(IF(IFERROR(PROPERTIES[[#This Row],[TE_COEFFICIENT_CALC]],0)=0,PROPERTIES[[#This Row],[TE_COEFFICIENT_MANUAL]],PROPERTIES[[#This Row],[TE_COEFFICIENT_CALC]]),3)</f>
        <v>0.29199999999999998</v>
      </c>
      <c r="W857" s="33" cm="1">
        <f t="array" ref="W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7" s="32">
        <v>0</v>
      </c>
      <c r="Y857" s="8">
        <v>0</v>
      </c>
      <c r="Z857" s="8" t="s">
        <v>871</v>
      </c>
      <c r="AA857" t="s">
        <v>868</v>
      </c>
      <c r="AB857" s="9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8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9" t="b">
        <v>1</v>
      </c>
    </row>
    <row r="858" spans="1:34">
      <c r="A858" s="2" t="s">
        <v>3158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t="s">
        <v>1710</v>
      </c>
      <c r="F858" t="str">
        <f>_xlfn.XLOOKUP(PROPERTIES[[#This Row],[COUNTRY]],COUNTRIES[COUNTRY_DESCRIPTION],COUNTRIES[COUNTRY_LABEL],"")</f>
        <v>AU</v>
      </c>
      <c r="G858" t="str" cm="1">
        <f t="array" ref="G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8" t="s">
        <v>19</v>
      </c>
      <c r="I858">
        <v>0</v>
      </c>
      <c r="J858">
        <v>8</v>
      </c>
      <c r="K858">
        <v>8</v>
      </c>
      <c r="L858" t="str" cm="1">
        <f t="array" ref="L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8">
        <f>_xlfn.XLOOKUP("LOADINGSPEEDDEF_"&amp;PROPERTIES[[#This Row],[LOADINGSPEED]],LOADINGSPEEDDEF[TYPE],LOADINGSPEEDDEF[SPEED])</f>
        <v>20</v>
      </c>
      <c r="N858" t="str" cm="1">
        <f t="array" ref="N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8">
        <f>IF(ISNUMBER(SEARCH("passenger",PROPERTIES[[#This Row],[CARGODEF]])),1,0)</f>
        <v>0</v>
      </c>
      <c r="P858" s="29">
        <v>127</v>
      </c>
      <c r="Q858">
        <v>3000</v>
      </c>
      <c r="R858">
        <v>115</v>
      </c>
      <c r="S858" s="26">
        <v>337</v>
      </c>
      <c r="T858" s="26">
        <f>IFERROR(PROPERTIES[[#This Row],[TE_STARTING_KN]]/(PROPERTIES[[#This Row],[WEIGHT]]*9.81),0)</f>
        <v>0.27049371122187704</v>
      </c>
      <c r="U858" s="26">
        <v>0</v>
      </c>
      <c r="V858" s="22">
        <f>ROUND(IF(IFERROR(PROPERTIES[[#This Row],[TE_COEFFICIENT_CALC]],0)=0,PROPERTIES[[#This Row],[TE_COEFFICIENT_MANUAL]],PROPERTIES[[#This Row],[TE_COEFFICIENT_CALC]]),3)</f>
        <v>0.27</v>
      </c>
      <c r="W858" s="33" cm="1">
        <f t="array" ref="W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858" s="32">
        <v>0</v>
      </c>
      <c r="Y858" s="8">
        <v>0</v>
      </c>
      <c r="Z858" s="8" t="s">
        <v>871</v>
      </c>
      <c r="AA858" t="s">
        <v>868</v>
      </c>
      <c r="AB858" s="9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8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9" t="b">
        <v>0</v>
      </c>
    </row>
    <row r="859" spans="1:34">
      <c r="A859" s="2" t="s">
        <v>3160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t="s">
        <v>1710</v>
      </c>
      <c r="F859" t="str">
        <f>_xlfn.XLOOKUP(PROPERTIES[[#This Row],[COUNTRY]],COUNTRIES[COUNTRY_DESCRIPTION],COUNTRIES[COUNTRY_LABEL],"")</f>
        <v>AU</v>
      </c>
      <c r="G859" t="str" cm="1">
        <f t="array" ref="G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9" t="s">
        <v>19</v>
      </c>
      <c r="I859">
        <v>0</v>
      </c>
      <c r="J859">
        <v>8</v>
      </c>
      <c r="K859">
        <v>8</v>
      </c>
      <c r="L859" t="str" cm="1">
        <f t="array" ref="L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9">
        <f>_xlfn.XLOOKUP("LOADINGSPEEDDEF_"&amp;PROPERTIES[[#This Row],[LOADINGSPEED]],LOADINGSPEEDDEF[TYPE],LOADINGSPEEDDEF[SPEED])</f>
        <v>20</v>
      </c>
      <c r="N859" t="str" cm="1">
        <f t="array" ref="N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9">
        <f>IF(ISNUMBER(SEARCH("passenger",PROPERTIES[[#This Row],[CARGODEF]])),1,0)</f>
        <v>0</v>
      </c>
      <c r="P859" s="29">
        <v>132</v>
      </c>
      <c r="Q859">
        <v>3030</v>
      </c>
      <c r="R859">
        <v>121</v>
      </c>
      <c r="S859" s="26">
        <v>370</v>
      </c>
      <c r="T859" s="26">
        <f>IFERROR(PROPERTIES[[#This Row],[TE_STARTING_KN]]/(PROPERTIES[[#This Row],[WEIGHT]]*9.81),0)</f>
        <v>0.28573193710808387</v>
      </c>
      <c r="U859" s="26">
        <v>0</v>
      </c>
      <c r="V859" s="22">
        <f>ROUND(IF(IFERROR(PROPERTIES[[#This Row],[TE_COEFFICIENT_CALC]],0)=0,PROPERTIES[[#This Row],[TE_COEFFICIENT_MANUAL]],PROPERTIES[[#This Row],[TE_COEFFICIENT_CALC]]),3)</f>
        <v>0.28599999999999998</v>
      </c>
      <c r="W859" s="33" cm="1">
        <f t="array" ref="W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9" s="32">
        <v>0</v>
      </c>
      <c r="Y859" s="8">
        <v>0</v>
      </c>
      <c r="Z859" s="8" t="s">
        <v>871</v>
      </c>
      <c r="AA859" t="s">
        <v>868</v>
      </c>
      <c r="AB859" s="9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8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9" t="b">
        <v>0</v>
      </c>
    </row>
    <row r="860" spans="1:34">
      <c r="A860" s="2" t="s">
        <v>3166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t="s">
        <v>1710</v>
      </c>
      <c r="F860" t="str">
        <f>_xlfn.XLOOKUP(PROPERTIES[[#This Row],[COUNTRY]],COUNTRIES[COUNTRY_DESCRIPTION],COUNTRIES[COUNTRY_LABEL],"")</f>
        <v>AU</v>
      </c>
      <c r="G860" t="str" cm="1">
        <f t="array" ref="G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0" t="s">
        <v>19</v>
      </c>
      <c r="I860">
        <v>0</v>
      </c>
      <c r="J860">
        <v>8</v>
      </c>
      <c r="K860">
        <v>8</v>
      </c>
      <c r="L860" t="str" cm="1">
        <f t="array" ref="L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0">
        <f>_xlfn.XLOOKUP("LOADINGSPEEDDEF_"&amp;PROPERTIES[[#This Row],[LOADINGSPEED]],LOADINGSPEEDDEF[TYPE],LOADINGSPEEDDEF[SPEED])</f>
        <v>20</v>
      </c>
      <c r="N860" t="str" cm="1">
        <f t="array" ref="N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0">
        <f>IF(ISNUMBER(SEARCH("passenger",PROPERTIES[[#This Row],[CARGODEF]])),1,0)</f>
        <v>0</v>
      </c>
      <c r="P860" s="29">
        <v>116</v>
      </c>
      <c r="Q860">
        <v>3010</v>
      </c>
      <c r="R860">
        <v>115</v>
      </c>
      <c r="S860" s="26">
        <v>331</v>
      </c>
      <c r="T860" s="26">
        <f>IFERROR(PROPERTIES[[#This Row],[TE_STARTING_KN]]/(PROPERTIES[[#This Row],[WEIGHT]]*9.81),0)</f>
        <v>0.29087138387992545</v>
      </c>
      <c r="U860" s="26">
        <v>0</v>
      </c>
      <c r="V860" s="22">
        <f>ROUND(IF(IFERROR(PROPERTIES[[#This Row],[TE_COEFFICIENT_CALC]],0)=0,PROPERTIES[[#This Row],[TE_COEFFICIENT_MANUAL]],PROPERTIES[[#This Row],[TE_COEFFICIENT_CALC]]),3)</f>
        <v>0.29099999999999998</v>
      </c>
      <c r="W860" s="33" cm="1">
        <f t="array" ref="W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0" s="32">
        <v>0</v>
      </c>
      <c r="Y860" s="8">
        <v>0</v>
      </c>
      <c r="Z860" s="8" t="s">
        <v>871</v>
      </c>
      <c r="AA860" t="s">
        <v>868</v>
      </c>
      <c r="AB860" s="9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8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9" t="b">
        <v>0</v>
      </c>
    </row>
    <row r="861" spans="1:34">
      <c r="A861" s="2" t="s">
        <v>3171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t="s">
        <v>1710</v>
      </c>
      <c r="F861" t="str">
        <f>_xlfn.XLOOKUP(PROPERTIES[[#This Row],[COUNTRY]],COUNTRIES[COUNTRY_DESCRIPTION],COUNTRIES[COUNTRY_LABEL],"")</f>
        <v>AU</v>
      </c>
      <c r="G861" t="str" cm="1">
        <f t="array" ref="G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1" t="s">
        <v>19</v>
      </c>
      <c r="I861">
        <v>0</v>
      </c>
      <c r="J861">
        <v>8</v>
      </c>
      <c r="K861">
        <v>8</v>
      </c>
      <c r="L861" t="str" cm="1">
        <f t="array" ref="L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1">
        <f>_xlfn.XLOOKUP("LOADINGSPEEDDEF_"&amp;PROPERTIES[[#This Row],[LOADINGSPEED]],LOADINGSPEEDDEF[TYPE],LOADINGSPEEDDEF[SPEED])</f>
        <v>20</v>
      </c>
      <c r="N861" cm="1">
        <f t="array" ref="N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1">
        <f>IF(ISNUMBER(SEARCH("passenger",PROPERTIES[[#This Row],[CARGODEF]])),1,0)</f>
        <v>0</v>
      </c>
      <c r="P861" s="29">
        <v>114</v>
      </c>
      <c r="Q861">
        <v>1500</v>
      </c>
      <c r="R861">
        <v>133</v>
      </c>
      <c r="S861" s="26">
        <v>267</v>
      </c>
      <c r="T861" s="26">
        <f>IFERROR(PROPERTIES[[#This Row],[TE_STARTING_KN]]/(PROPERTIES[[#This Row],[WEIGHT]]*9.81),0)</f>
        <v>0.23874671387949994</v>
      </c>
      <c r="U861" s="26">
        <v>0</v>
      </c>
      <c r="V861" s="22">
        <f>ROUND(IF(IFERROR(PROPERTIES[[#This Row],[TE_COEFFICIENT_CALC]],0)=0,PROPERTIES[[#This Row],[TE_COEFFICIENT_MANUAL]],PROPERTIES[[#This Row],[TE_COEFFICIENT_CALC]]),3)</f>
        <v>0.23899999999999999</v>
      </c>
      <c r="W861" s="33" cm="1">
        <f t="array" ref="W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1" s="32">
        <v>0</v>
      </c>
      <c r="Y861" s="8">
        <v>0</v>
      </c>
      <c r="Z861" s="8" t="s">
        <v>871</v>
      </c>
      <c r="AA861" t="s">
        <v>868</v>
      </c>
      <c r="AB861" s="9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8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9" t="b">
        <v>0</v>
      </c>
    </row>
    <row r="862" spans="1:34">
      <c r="A862" s="2" t="s">
        <v>3163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t="s">
        <v>1710</v>
      </c>
      <c r="F862" t="str">
        <f>_xlfn.XLOOKUP(PROPERTIES[[#This Row],[COUNTRY]],COUNTRIES[COUNTRY_DESCRIPTION],COUNTRIES[COUNTRY_LABEL],"")</f>
        <v>AU</v>
      </c>
      <c r="G862" t="str" cm="1">
        <f t="array" ref="G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2" t="s">
        <v>19</v>
      </c>
      <c r="I862">
        <v>0</v>
      </c>
      <c r="J862">
        <v>8</v>
      </c>
      <c r="K862">
        <v>8</v>
      </c>
      <c r="L862" t="str" cm="1">
        <f t="array" ref="L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2">
        <f>_xlfn.XLOOKUP("LOADINGSPEEDDEF_"&amp;PROPERTIES[[#This Row],[LOADINGSPEED]],LOADINGSPEEDDEF[TYPE],LOADINGSPEEDDEF[SPEED])</f>
        <v>20</v>
      </c>
      <c r="N862" t="str" cm="1">
        <f t="array" ref="N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2">
        <f>IF(ISNUMBER(SEARCH("passenger",PROPERTIES[[#This Row],[CARGODEF]])),1,0)</f>
        <v>0</v>
      </c>
      <c r="P862" s="29">
        <v>132</v>
      </c>
      <c r="Q862">
        <v>3030</v>
      </c>
      <c r="R862">
        <v>121</v>
      </c>
      <c r="S862" s="26">
        <v>413</v>
      </c>
      <c r="T862" s="26">
        <f>IFERROR(PROPERTIES[[#This Row],[TE_STARTING_KN]]/(PROPERTIES[[#This Row],[WEIGHT]]*9.81),0)</f>
        <v>0.31893862169091525</v>
      </c>
      <c r="U862" s="26">
        <v>0</v>
      </c>
      <c r="V862" s="22">
        <f>ROUND(IF(IFERROR(PROPERTIES[[#This Row],[TE_COEFFICIENT_CALC]],0)=0,PROPERTIES[[#This Row],[TE_COEFFICIENT_MANUAL]],PROPERTIES[[#This Row],[TE_COEFFICIENT_CALC]]),3)</f>
        <v>0.31900000000000001</v>
      </c>
      <c r="W862" s="33" cm="1">
        <f t="array" ref="W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2" s="32">
        <v>0</v>
      </c>
      <c r="Y862" s="8">
        <v>0</v>
      </c>
      <c r="Z862" s="8" t="s">
        <v>871</v>
      </c>
      <c r="AA862" t="s">
        <v>868</v>
      </c>
      <c r="AB862" s="9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8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9" t="b">
        <v>0</v>
      </c>
    </row>
    <row r="863" spans="1:34">
      <c r="A863" s="2" t="s">
        <v>3172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t="s">
        <v>1710</v>
      </c>
      <c r="F863" t="str">
        <f>_xlfn.XLOOKUP(PROPERTIES[[#This Row],[COUNTRY]],COUNTRIES[COUNTRY_DESCRIPTION],COUNTRIES[COUNTRY_LABEL],"")</f>
        <v>AU</v>
      </c>
      <c r="G863" t="str" cm="1">
        <f t="array" ref="G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3" t="s">
        <v>19</v>
      </c>
      <c r="I863">
        <v>0</v>
      </c>
      <c r="J863">
        <v>8</v>
      </c>
      <c r="K863">
        <v>8</v>
      </c>
      <c r="L863" t="str" cm="1">
        <f t="array" ref="L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3">
        <f>_xlfn.XLOOKUP("LOADINGSPEEDDEF_"&amp;PROPERTIES[[#This Row],[LOADINGSPEED]],LOADINGSPEEDDEF[TYPE],LOADINGSPEEDDEF[SPEED])</f>
        <v>20</v>
      </c>
      <c r="N863" t="str" cm="1">
        <f t="array" ref="N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3">
        <f>IF(ISNUMBER(SEARCH("passenger",PROPERTIES[[#This Row],[CARGODEF]])),1,0)</f>
        <v>0</v>
      </c>
      <c r="P863" s="29">
        <v>114</v>
      </c>
      <c r="Q863">
        <v>1810</v>
      </c>
      <c r="R863">
        <v>133</v>
      </c>
      <c r="S863" s="26">
        <v>330</v>
      </c>
      <c r="T863" s="26">
        <f>IFERROR(PROPERTIES[[#This Row],[TE_STARTING_KN]]/(PROPERTIES[[#This Row],[WEIGHT]]*9.81),0)</f>
        <v>0.2950802081656741</v>
      </c>
      <c r="U863" s="26">
        <v>0</v>
      </c>
      <c r="V863" s="22">
        <f>ROUND(IF(IFERROR(PROPERTIES[[#This Row],[TE_COEFFICIENT_CALC]],0)=0,PROPERTIES[[#This Row],[TE_COEFFICIENT_MANUAL]],PROPERTIES[[#This Row],[TE_COEFFICIENT_CALC]]),3)</f>
        <v>0.29499999999999998</v>
      </c>
      <c r="W863" s="33" cm="1">
        <f t="array" ref="W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63" s="32">
        <v>0</v>
      </c>
      <c r="Y863" s="8">
        <v>0</v>
      </c>
      <c r="Z863" s="8" t="s">
        <v>871</v>
      </c>
      <c r="AA863" t="s">
        <v>868</v>
      </c>
      <c r="AB863" s="9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8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9" t="b">
        <v>0</v>
      </c>
    </row>
    <row r="864" spans="1:34">
      <c r="A864" s="2" t="s">
        <v>3173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t="s">
        <v>1710</v>
      </c>
      <c r="F864" t="str">
        <f>_xlfn.XLOOKUP(PROPERTIES[[#This Row],[COUNTRY]],COUNTRIES[COUNTRY_DESCRIPTION],COUNTRIES[COUNTRY_LABEL],"")</f>
        <v>AU</v>
      </c>
      <c r="G864" t="str" cm="1">
        <f t="array" ref="G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4" t="s">
        <v>19</v>
      </c>
      <c r="I864">
        <v>0</v>
      </c>
      <c r="J864">
        <v>8</v>
      </c>
      <c r="K864">
        <v>8</v>
      </c>
      <c r="L864" t="str" cm="1">
        <f t="array" ref="L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4">
        <f>_xlfn.XLOOKUP("LOADINGSPEEDDEF_"&amp;PROPERTIES[[#This Row],[LOADINGSPEED]],LOADINGSPEEDDEF[TYPE],LOADINGSPEEDDEF[SPEED])</f>
        <v>20</v>
      </c>
      <c r="N864" t="str" cm="1">
        <f t="array" ref="N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4">
        <f>IF(ISNUMBER(SEARCH("passenger",PROPERTIES[[#This Row],[CARGODEF]])),1,0)</f>
        <v>0</v>
      </c>
      <c r="P864" s="29">
        <v>116</v>
      </c>
      <c r="Q864">
        <v>2000</v>
      </c>
      <c r="R864">
        <v>133</v>
      </c>
      <c r="S864" s="26">
        <v>350</v>
      </c>
      <c r="T864" s="26">
        <f>IFERROR(PROPERTIES[[#This Row],[TE_STARTING_KN]]/(PROPERTIES[[#This Row],[WEIGHT]]*9.81),0)</f>
        <v>0.30756792857393933</v>
      </c>
      <c r="U864" s="26">
        <v>0</v>
      </c>
      <c r="V864" s="22">
        <f>ROUND(IF(IFERROR(PROPERTIES[[#This Row],[TE_COEFFICIENT_CALC]],0)=0,PROPERTIES[[#This Row],[TE_COEFFICIENT_MANUAL]],PROPERTIES[[#This Row],[TE_COEFFICIENT_CALC]]),3)</f>
        <v>0.308</v>
      </c>
      <c r="W864" s="33" cm="1">
        <f t="array" ref="W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64" s="32">
        <v>0</v>
      </c>
      <c r="Y864" s="8">
        <v>0</v>
      </c>
      <c r="Z864" s="8" t="s">
        <v>871</v>
      </c>
      <c r="AA864" t="s">
        <v>868</v>
      </c>
      <c r="AB864" s="9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8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9" t="b">
        <v>1</v>
      </c>
    </row>
    <row r="865" spans="1:34">
      <c r="A865" s="2" t="s">
        <v>3174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t="s">
        <v>1710</v>
      </c>
      <c r="F865" t="str">
        <f>_xlfn.XLOOKUP(PROPERTIES[[#This Row],[COUNTRY]],COUNTRIES[COUNTRY_DESCRIPTION],COUNTRIES[COUNTRY_LABEL],"")</f>
        <v>AU</v>
      </c>
      <c r="G865" t="str" cm="1">
        <f t="array" ref="G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5" t="s">
        <v>19</v>
      </c>
      <c r="I865">
        <v>0</v>
      </c>
      <c r="J865">
        <v>8</v>
      </c>
      <c r="K865">
        <v>8</v>
      </c>
      <c r="L865" t="str" cm="1">
        <f t="array" ref="L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5">
        <f>_xlfn.XLOOKUP("LOADINGSPEEDDEF_"&amp;PROPERTIES[[#This Row],[LOADINGSPEED]],LOADINGSPEEDDEF[TYPE],LOADINGSPEEDDEF[SPEED])</f>
        <v>20</v>
      </c>
      <c r="N865" t="str" cm="1">
        <f t="array" ref="N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5">
        <f>IF(ISNUMBER(SEARCH("passenger",PROPERTIES[[#This Row],[CARGODEF]])),1,0)</f>
        <v>0</v>
      </c>
      <c r="P865" s="29">
        <v>116</v>
      </c>
      <c r="Q865">
        <v>2200</v>
      </c>
      <c r="R865">
        <v>133</v>
      </c>
      <c r="S865" s="26">
        <v>370</v>
      </c>
      <c r="T865" s="26">
        <f>IFERROR(PROPERTIES[[#This Row],[TE_STARTING_KN]]/(PROPERTIES[[#This Row],[WEIGHT]]*9.81),0)</f>
        <v>0.32514323877816442</v>
      </c>
      <c r="U865" s="26">
        <v>0</v>
      </c>
      <c r="V865" s="22">
        <f>ROUND(IF(IFERROR(PROPERTIES[[#This Row],[TE_COEFFICIENT_CALC]],0)=0,PROPERTIES[[#This Row],[TE_COEFFICIENT_MANUAL]],PROPERTIES[[#This Row],[TE_COEFFICIENT_CALC]]),3)</f>
        <v>0.32500000000000001</v>
      </c>
      <c r="W865" s="33" cm="1">
        <f t="array" ref="W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865" s="32">
        <v>0</v>
      </c>
      <c r="Y865" s="8">
        <v>0</v>
      </c>
      <c r="Z865" s="8" t="s">
        <v>871</v>
      </c>
      <c r="AA865" t="s">
        <v>868</v>
      </c>
      <c r="AB865" s="9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8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9" t="b">
        <v>1</v>
      </c>
    </row>
    <row r="866" spans="1:34">
      <c r="A866" s="2" t="s">
        <v>3179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t="s">
        <v>1710</v>
      </c>
      <c r="F866" t="str">
        <f>_xlfn.XLOOKUP(PROPERTIES[[#This Row],[COUNTRY]],COUNTRIES[COUNTRY_DESCRIPTION],COUNTRIES[COUNTRY_LABEL],"")</f>
        <v>AU</v>
      </c>
      <c r="G866" t="str" cm="1">
        <f t="array" ref="G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6" t="s">
        <v>19</v>
      </c>
      <c r="I866">
        <v>0</v>
      </c>
      <c r="J866">
        <v>8</v>
      </c>
      <c r="K866">
        <v>8</v>
      </c>
      <c r="L866" t="str" cm="1">
        <f t="array" ref="L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6">
        <f>_xlfn.XLOOKUP("LOADINGSPEEDDEF_"&amp;PROPERTIES[[#This Row],[LOADINGSPEED]],LOADINGSPEEDDEF[TYPE],LOADINGSPEEDDEF[SPEED])</f>
        <v>20</v>
      </c>
      <c r="N866" cm="1">
        <f t="array" ref="N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6">
        <f>IF(ISNUMBER(SEARCH("passenger",PROPERTIES[[#This Row],[CARGODEF]])),1,0)</f>
        <v>0</v>
      </c>
      <c r="P866" s="29">
        <v>122</v>
      </c>
      <c r="Q866">
        <v>2150</v>
      </c>
      <c r="R866">
        <v>120</v>
      </c>
      <c r="S866" s="26">
        <v>356</v>
      </c>
      <c r="T866" s="26">
        <f>IFERROR(PROPERTIES[[#This Row],[TE_STARTING_KN]]/(PROPERTIES[[#This Row],[WEIGHT]]*9.81),0)</f>
        <v>0.2974549222105245</v>
      </c>
      <c r="U866" s="26">
        <v>0</v>
      </c>
      <c r="V866" s="22">
        <f>ROUND(IF(IFERROR(PROPERTIES[[#This Row],[TE_COEFFICIENT_CALC]],0)=0,PROPERTIES[[#This Row],[TE_COEFFICIENT_MANUAL]],PROPERTIES[[#This Row],[TE_COEFFICIENT_CALC]]),3)</f>
        <v>0.29699999999999999</v>
      </c>
      <c r="W866" s="33" cm="1">
        <f t="array" ref="W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6" s="32">
        <v>0</v>
      </c>
      <c r="Y866" s="8">
        <v>0</v>
      </c>
      <c r="Z866" s="8" t="s">
        <v>871</v>
      </c>
      <c r="AA866" t="s">
        <v>868</v>
      </c>
      <c r="AB866" s="9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8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9" t="b">
        <v>0</v>
      </c>
    </row>
    <row r="867" spans="1:34">
      <c r="A867" t="s">
        <v>3183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t="s">
        <v>1710</v>
      </c>
      <c r="F867" t="str">
        <f>_xlfn.XLOOKUP(PROPERTIES[[#This Row],[COUNTRY]],COUNTRIES[COUNTRY_DESCRIPTION],COUNTRIES[COUNTRY_LABEL],"")</f>
        <v>AU</v>
      </c>
      <c r="G867" t="str" cm="1">
        <f t="array" ref="G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7" t="s">
        <v>19</v>
      </c>
      <c r="I867">
        <v>0</v>
      </c>
      <c r="J867">
        <v>8</v>
      </c>
      <c r="K867">
        <v>8</v>
      </c>
      <c r="L867" t="str" cm="1">
        <f t="array" ref="L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7">
        <f>_xlfn.XLOOKUP("LOADINGSPEEDDEF_"&amp;PROPERTIES[[#This Row],[LOADINGSPEED]],LOADINGSPEEDDEF[TYPE],LOADINGSPEEDDEF[SPEED])</f>
        <v>20</v>
      </c>
      <c r="N867" cm="1">
        <f t="array" ref="N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7">
        <f>IF(ISNUMBER(SEARCH("passenger",PROPERTIES[[#This Row],[CARGODEF]])),1,0)</f>
        <v>0</v>
      </c>
      <c r="P867" s="29">
        <v>123</v>
      </c>
      <c r="Q867">
        <v>3860</v>
      </c>
      <c r="R867">
        <v>130</v>
      </c>
      <c r="S867" s="26">
        <v>341</v>
      </c>
      <c r="T867" s="26">
        <f>IFERROR(PROPERTIES[[#This Row],[TE_STARTING_KN]]/(PROPERTIES[[#This Row],[WEIGHT]]*9.81),0)</f>
        <v>0.28260527253590578</v>
      </c>
      <c r="U867" s="26">
        <v>0</v>
      </c>
      <c r="V867" s="22">
        <f>ROUND(IF(IFERROR(PROPERTIES[[#This Row],[TE_COEFFICIENT_CALC]],0)=0,PROPERTIES[[#This Row],[TE_COEFFICIENT_MANUAL]],PROPERTIES[[#This Row],[TE_COEFFICIENT_CALC]]),3)</f>
        <v>0.28299999999999997</v>
      </c>
      <c r="W867" s="33" cm="1">
        <f t="array" ref="W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7" s="32">
        <v>0</v>
      </c>
      <c r="Y867" s="8">
        <v>0</v>
      </c>
      <c r="Z867" s="8" t="s">
        <v>871</v>
      </c>
      <c r="AA867" t="s">
        <v>868</v>
      </c>
      <c r="AB867" s="9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8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9" t="b">
        <v>0</v>
      </c>
    </row>
    <row r="868" spans="1:34">
      <c r="A868" s="2" t="s">
        <v>3186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t="s">
        <v>1710</v>
      </c>
      <c r="F868" t="str">
        <f>_xlfn.XLOOKUP(PROPERTIES[[#This Row],[COUNTRY]],COUNTRIES[COUNTRY_DESCRIPTION],COUNTRIES[COUNTRY_LABEL],"")</f>
        <v>AU</v>
      </c>
      <c r="G868" t="str" cm="1">
        <f t="array" ref="G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8" t="s">
        <v>19</v>
      </c>
      <c r="I868">
        <v>0</v>
      </c>
      <c r="J868">
        <v>8</v>
      </c>
      <c r="K868">
        <v>8</v>
      </c>
      <c r="L868" t="str" cm="1">
        <f t="array" ref="L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8">
        <f>_xlfn.XLOOKUP("LOADINGSPEEDDEF_"&amp;PROPERTIES[[#This Row],[LOADINGSPEED]],LOADINGSPEEDDEF[TYPE],LOADINGSPEEDDEF[SPEED])</f>
        <v>20</v>
      </c>
      <c r="N868" t="str" cm="1">
        <f t="array" ref="N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8">
        <f>IF(ISNUMBER(SEARCH("passenger",PROPERTIES[[#This Row],[CARGODEF]])),1,0)</f>
        <v>0</v>
      </c>
      <c r="P868" s="29">
        <v>120</v>
      </c>
      <c r="Q868">
        <v>5000</v>
      </c>
      <c r="R868">
        <v>110</v>
      </c>
      <c r="S868" s="26">
        <v>450</v>
      </c>
      <c r="T868" s="26">
        <f>IFERROR(PROPERTIES[[#This Row],[TE_STARTING_KN]]/(PROPERTIES[[#This Row],[WEIGHT]]*9.81),0)</f>
        <v>0.38226299694189603</v>
      </c>
      <c r="U868" s="26">
        <v>0</v>
      </c>
      <c r="V868" s="22">
        <f>ROUND(IF(IFERROR(PROPERTIES[[#This Row],[TE_COEFFICIENT_CALC]],0)=0,PROPERTIES[[#This Row],[TE_COEFFICIENT_MANUAL]],PROPERTIES[[#This Row],[TE_COEFFICIENT_CALC]]),3)</f>
        <v>0.38200000000000001</v>
      </c>
      <c r="W868" s="33" cm="1">
        <f t="array" ref="W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8" s="32">
        <v>0</v>
      </c>
      <c r="Y868" s="8">
        <v>0</v>
      </c>
      <c r="Z868" s="8" t="s">
        <v>871</v>
      </c>
      <c r="AA868" t="s">
        <v>868</v>
      </c>
      <c r="AB868" s="9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8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9" t="b">
        <v>0</v>
      </c>
    </row>
    <row r="869" spans="1:34">
      <c r="A869" s="2" t="s">
        <v>3187</v>
      </c>
      <c r="B869">
        <v>2006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t="s">
        <v>1710</v>
      </c>
      <c r="F869" t="str">
        <f>_xlfn.XLOOKUP(PROPERTIES[[#This Row],[COUNTRY]],COUNTRIES[COUNTRY_DESCRIPTION],COUNTRIES[COUNTRY_LABEL],"")</f>
        <v>AU</v>
      </c>
      <c r="G869" t="str" cm="1">
        <f t="array" ref="G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9" t="s">
        <v>19</v>
      </c>
      <c r="I869">
        <v>0</v>
      </c>
      <c r="J869">
        <v>8</v>
      </c>
      <c r="K869">
        <v>8</v>
      </c>
      <c r="L869" t="str" cm="1">
        <f t="array" ref="L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9">
        <f>_xlfn.XLOOKUP("LOADINGSPEEDDEF_"&amp;PROPERTIES[[#This Row],[LOADINGSPEED]],LOADINGSPEEDDEF[TYPE],LOADINGSPEEDDEF[SPEED])</f>
        <v>20</v>
      </c>
      <c r="N869" t="str" cm="1">
        <f t="array" ref="N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9">
        <f>IF(ISNUMBER(SEARCH("passenger",PROPERTIES[[#This Row],[CARGODEF]])),1,0)</f>
        <v>0</v>
      </c>
      <c r="P869" s="29">
        <v>121.1</v>
      </c>
      <c r="Q869">
        <v>3845</v>
      </c>
      <c r="R869">
        <v>165</v>
      </c>
      <c r="S869" s="26">
        <v>390</v>
      </c>
      <c r="T869" s="26">
        <f>IFERROR(PROPERTIES[[#This Row],[TE_STARTING_KN]]/(PROPERTIES[[#This Row],[WEIGHT]]*9.81),0)</f>
        <v>0.32828531529279265</v>
      </c>
      <c r="U869" s="26">
        <v>0</v>
      </c>
      <c r="V869" s="22">
        <f>ROUND(IF(IFERROR(PROPERTIES[[#This Row],[TE_COEFFICIENT_CALC]],0)=0,PROPERTIES[[#This Row],[TE_COEFFICIENT_MANUAL]],PROPERTIES[[#This Row],[TE_COEFFICIENT_CALC]]),3)</f>
        <v>0.32800000000000001</v>
      </c>
      <c r="W869" s="33" cm="1">
        <f t="array" ref="W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69" s="32">
        <v>0</v>
      </c>
      <c r="Y869" s="8">
        <v>0</v>
      </c>
      <c r="Z869" s="8" t="s">
        <v>871</v>
      </c>
      <c r="AA869" t="s">
        <v>868</v>
      </c>
      <c r="AB869" s="9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8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9" t="b">
        <v>0</v>
      </c>
    </row>
    <row r="870" spans="1:34">
      <c r="A870" s="2" t="s">
        <v>3190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t="s">
        <v>1710</v>
      </c>
      <c r="F870" t="str">
        <f>_xlfn.XLOOKUP(PROPERTIES[[#This Row],[COUNTRY]],COUNTRIES[COUNTRY_DESCRIPTION],COUNTRIES[COUNTRY_LABEL],"")</f>
        <v>AU</v>
      </c>
      <c r="G870" t="str" cm="1">
        <f t="array" ref="G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0" t="s">
        <v>19</v>
      </c>
      <c r="I870">
        <v>0</v>
      </c>
      <c r="J870">
        <v>8</v>
      </c>
      <c r="K870">
        <v>9</v>
      </c>
      <c r="L870" t="str" cm="1">
        <f t="array" ref="L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0">
        <f>_xlfn.XLOOKUP("LOADINGSPEEDDEF_"&amp;PROPERTIES[[#This Row],[LOADINGSPEED]],LOADINGSPEEDDEF[TYPE],LOADINGSPEEDDEF[SPEED])</f>
        <v>20</v>
      </c>
      <c r="N870" cm="1">
        <f t="array" ref="N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0">
        <f>IF(ISNUMBER(SEARCH("passenger",PROPERTIES[[#This Row],[CARGODEF]])),1,0)</f>
        <v>0</v>
      </c>
      <c r="P870" s="29">
        <v>200</v>
      </c>
      <c r="Q870">
        <v>6600</v>
      </c>
      <c r="R870">
        <v>115</v>
      </c>
      <c r="S870" s="26">
        <v>600</v>
      </c>
      <c r="T870" s="26">
        <f>IFERROR(PROPERTIES[[#This Row],[TE_STARTING_KN]]/(PROPERTIES[[#This Row],[WEIGHT]]*9.81),0)</f>
        <v>0.3058103975535168</v>
      </c>
      <c r="U870" s="26">
        <v>0</v>
      </c>
      <c r="V870" s="22">
        <f>ROUND(IF(IFERROR(PROPERTIES[[#This Row],[TE_COEFFICIENT_CALC]],0)=0,PROPERTIES[[#This Row],[TE_COEFFICIENT_MANUAL]],PROPERTIES[[#This Row],[TE_COEFFICIENT_CALC]]),3)</f>
        <v>0.30599999999999999</v>
      </c>
      <c r="W870" s="33" cm="1">
        <f t="array" ref="W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0" s="32">
        <v>0</v>
      </c>
      <c r="Y870" s="8">
        <v>1</v>
      </c>
      <c r="Z870" s="8" t="s">
        <v>871</v>
      </c>
      <c r="AA870" t="s">
        <v>868</v>
      </c>
      <c r="AB870" s="9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8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9" t="b">
        <v>0</v>
      </c>
    </row>
    <row r="871" spans="1:34">
      <c r="A871" s="2" t="s">
        <v>3192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t="s">
        <v>1710</v>
      </c>
      <c r="F871" t="str">
        <f>_xlfn.XLOOKUP(PROPERTIES[[#This Row],[COUNTRY]],COUNTRIES[COUNTRY_DESCRIPTION],COUNTRIES[COUNTRY_LABEL],"")</f>
        <v>AU</v>
      </c>
      <c r="G871" t="str" cm="1">
        <f t="array" ref="G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1" t="s">
        <v>19</v>
      </c>
      <c r="I871">
        <v>0</v>
      </c>
      <c r="J871">
        <v>7</v>
      </c>
      <c r="K871">
        <v>7</v>
      </c>
      <c r="L871" t="str" cm="1">
        <f t="array" ref="L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1">
        <f>_xlfn.XLOOKUP("LOADINGSPEEDDEF_"&amp;PROPERTIES[[#This Row],[LOADINGSPEED]],LOADINGSPEEDDEF[TYPE],LOADINGSPEEDDEF[SPEED])</f>
        <v>20</v>
      </c>
      <c r="N871" cm="1">
        <f t="array" ref="N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1">
        <f>IF(ISNUMBER(SEARCH("passenger",PROPERTIES[[#This Row],[CARGODEF]])),1,0)</f>
        <v>0</v>
      </c>
      <c r="P871" s="29">
        <v>97.5</v>
      </c>
      <c r="Q871">
        <v>2201</v>
      </c>
      <c r="R871">
        <v>100</v>
      </c>
      <c r="S871" s="26">
        <v>286</v>
      </c>
      <c r="T871" s="26">
        <f>IFERROR(PROPERTIES[[#This Row],[TE_STARTING_KN]]/(PROPERTIES[[#This Row],[WEIGHT]]*9.81),0)</f>
        <v>0.29901461094121645</v>
      </c>
      <c r="U871" s="26">
        <v>0</v>
      </c>
      <c r="V871" s="22">
        <f>ROUND(IF(IFERROR(PROPERTIES[[#This Row],[TE_COEFFICIENT_CALC]],0)=0,PROPERTIES[[#This Row],[TE_COEFFICIENT_MANUAL]],PROPERTIES[[#This Row],[TE_COEFFICIENT_CALC]]),3)</f>
        <v>0.29899999999999999</v>
      </c>
      <c r="W871" s="33" cm="1">
        <f t="array" ref="W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1" s="32">
        <v>0</v>
      </c>
      <c r="Y871" s="8">
        <v>0</v>
      </c>
      <c r="Z871" s="8" t="s">
        <v>871</v>
      </c>
      <c r="AA871" t="s">
        <v>868</v>
      </c>
      <c r="AB871" s="9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8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9" t="b">
        <v>0</v>
      </c>
    </row>
    <row r="872" spans="1:34">
      <c r="A872" s="2" t="s">
        <v>3196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t="s">
        <v>1710</v>
      </c>
      <c r="F872" t="str">
        <f>_xlfn.XLOOKUP(PROPERTIES[[#This Row],[COUNTRY]],COUNTRIES[COUNTRY_DESCRIPTION],COUNTRIES[COUNTRY_LABEL],"")</f>
        <v>AU</v>
      </c>
      <c r="G872" t="str" cm="1">
        <f t="array" ref="G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2" t="s">
        <v>19</v>
      </c>
      <c r="I872">
        <v>0</v>
      </c>
      <c r="J872">
        <v>7</v>
      </c>
      <c r="K872">
        <v>7</v>
      </c>
      <c r="L872" t="str" cm="1">
        <f t="array" ref="L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2">
        <f>_xlfn.XLOOKUP("LOADINGSPEEDDEF_"&amp;PROPERTIES[[#This Row],[LOADINGSPEED]],LOADINGSPEEDDEF[TYPE],LOADINGSPEEDDEF[SPEED])</f>
        <v>20</v>
      </c>
      <c r="N872" cm="1">
        <f t="array" ref="N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2">
        <f>IF(ISNUMBER(SEARCH("passenger",PROPERTIES[[#This Row],[CARGODEF]])),1,0)</f>
        <v>0</v>
      </c>
      <c r="P872" s="29">
        <v>96</v>
      </c>
      <c r="Q872">
        <v>2025</v>
      </c>
      <c r="R872">
        <v>97</v>
      </c>
      <c r="S872" s="26">
        <f>240*1.3</f>
        <v>312</v>
      </c>
      <c r="T872" s="26">
        <f>IFERROR(PROPERTIES[[#This Row],[TE_STARTING_KN]]/(PROPERTIES[[#This Row],[WEIGHT]]*9.81),0)</f>
        <v>0.33129459734964323</v>
      </c>
      <c r="U872" s="26">
        <v>0</v>
      </c>
      <c r="V872" s="22">
        <f>ROUND(IF(IFERROR(PROPERTIES[[#This Row],[TE_COEFFICIENT_CALC]],0)=0,PROPERTIES[[#This Row],[TE_COEFFICIENT_MANUAL]],PROPERTIES[[#This Row],[TE_COEFFICIENT_CALC]]),3)</f>
        <v>0.33100000000000002</v>
      </c>
      <c r="W872" s="33" cm="1">
        <f t="array" ref="W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72" s="32">
        <v>0</v>
      </c>
      <c r="Y872" s="8">
        <v>0</v>
      </c>
      <c r="Z872" s="8" t="s">
        <v>871</v>
      </c>
      <c r="AA872" t="s">
        <v>868</v>
      </c>
      <c r="AB872" s="9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8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9" t="b">
        <v>0</v>
      </c>
    </row>
    <row r="873" spans="1:34">
      <c r="A873" s="2" t="s">
        <v>3199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t="s">
        <v>1710</v>
      </c>
      <c r="F873" t="str">
        <f>_xlfn.XLOOKUP(PROPERTIES[[#This Row],[COUNTRY]],COUNTRIES[COUNTRY_DESCRIPTION],COUNTRIES[COUNTRY_LABEL],"")</f>
        <v>AU</v>
      </c>
      <c r="G873" t="str" cm="1">
        <f t="array" ref="G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3" t="s">
        <v>19</v>
      </c>
      <c r="I873">
        <v>0</v>
      </c>
      <c r="J873">
        <v>7</v>
      </c>
      <c r="K873">
        <v>7</v>
      </c>
      <c r="L873" t="str" cm="1">
        <f t="array" ref="L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3">
        <f>_xlfn.XLOOKUP("LOADINGSPEEDDEF_"&amp;PROPERTIES[[#This Row],[LOADINGSPEED]],LOADINGSPEEDDEF[TYPE],LOADINGSPEEDDEF[SPEED])</f>
        <v>20</v>
      </c>
      <c r="N873" cm="1">
        <f t="array" ref="N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3">
        <f>IF(ISNUMBER(SEARCH("passenger",PROPERTIES[[#This Row],[CARGODEF]])),1,0)</f>
        <v>0</v>
      </c>
      <c r="P873" s="29">
        <v>91.4</v>
      </c>
      <c r="Q873">
        <v>2550</v>
      </c>
      <c r="R873">
        <v>80</v>
      </c>
      <c r="S873" s="26">
        <v>200</v>
      </c>
      <c r="T873" s="26">
        <f>IFERROR(PROPERTIES[[#This Row],[TE_STARTING_KN]]/(PROPERTIES[[#This Row],[WEIGHT]]*9.81),0)</f>
        <v>0.22305645335778029</v>
      </c>
      <c r="U873" s="26">
        <v>0</v>
      </c>
      <c r="V873" s="22">
        <f>ROUND(IF(IFERROR(PROPERTIES[[#This Row],[TE_COEFFICIENT_CALC]],0)=0,PROPERTIES[[#This Row],[TE_COEFFICIENT_MANUAL]],PROPERTIES[[#This Row],[TE_COEFFICIENT_CALC]]),3)</f>
        <v>0.223</v>
      </c>
      <c r="W873" s="33" cm="1">
        <f t="array" ref="W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3" s="32">
        <v>0</v>
      </c>
      <c r="Y873" s="8">
        <v>0</v>
      </c>
      <c r="Z873" s="8" t="s">
        <v>871</v>
      </c>
      <c r="AA873" t="s">
        <v>868</v>
      </c>
      <c r="AB873" s="9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8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9" t="b">
        <v>0</v>
      </c>
    </row>
    <row r="874" spans="1:34">
      <c r="A874" s="2" t="s">
        <v>3204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t="s">
        <v>1867</v>
      </c>
      <c r="F874" t="str">
        <f>_xlfn.XLOOKUP(PROPERTIES[[#This Row],[COUNTRY]],COUNTRIES[COUNTRY_DESCRIPTION],COUNTRIES[COUNTRY_LABEL],"")</f>
        <v>NZ</v>
      </c>
      <c r="G874" t="str" cm="1">
        <f t="array" ref="G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4" t="s">
        <v>19</v>
      </c>
      <c r="I874">
        <v>0</v>
      </c>
      <c r="J874">
        <v>7</v>
      </c>
      <c r="K874">
        <v>7</v>
      </c>
      <c r="L874" t="str" cm="1">
        <f t="array" ref="L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4">
        <f>_xlfn.XLOOKUP("LOADINGSPEEDDEF_"&amp;PROPERTIES[[#This Row],[LOADINGSPEED]],LOADINGSPEEDDEF[TYPE],LOADINGSPEEDDEF[SPEED])</f>
        <v>20</v>
      </c>
      <c r="N874" t="str" cm="1">
        <f t="array" ref="N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74">
        <f>IF(ISNUMBER(SEARCH("passenger",PROPERTIES[[#This Row],[CARGODEF]])),1,0)</f>
        <v>0</v>
      </c>
      <c r="P874" s="29">
        <v>97.5</v>
      </c>
      <c r="Q874">
        <v>2750</v>
      </c>
      <c r="R874">
        <v>105</v>
      </c>
      <c r="S874" s="26">
        <f>259*1.3</f>
        <v>336.7</v>
      </c>
      <c r="T874" s="26">
        <f>IFERROR(PROPERTIES[[#This Row],[TE_STARTING_KN]]/(PROPERTIES[[#This Row],[WEIGHT]]*9.81),0)</f>
        <v>0.35202174651715934</v>
      </c>
      <c r="U874" s="26">
        <v>0</v>
      </c>
      <c r="V874" s="22">
        <f>ROUND(IF(IFERROR(PROPERTIES[[#This Row],[TE_COEFFICIENT_CALC]],0)=0,PROPERTIES[[#This Row],[TE_COEFFICIENT_MANUAL]],PROPERTIES[[#This Row],[TE_COEFFICIENT_CALC]]),3)</f>
        <v>0.35199999999999998</v>
      </c>
      <c r="W874" s="33" cm="1">
        <f t="array" ref="W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874" s="32">
        <v>0</v>
      </c>
      <c r="Y874" s="8">
        <v>0</v>
      </c>
      <c r="Z874" s="8" t="s">
        <v>871</v>
      </c>
      <c r="AA874" t="s">
        <v>868</v>
      </c>
      <c r="AB874" s="9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8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9" t="b">
        <v>0</v>
      </c>
    </row>
    <row r="875" spans="1:34">
      <c r="A875" s="2" t="s">
        <v>3207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t="s">
        <v>1710</v>
      </c>
      <c r="F875" t="str">
        <f>_xlfn.XLOOKUP(PROPERTIES[[#This Row],[COUNTRY]],COUNTRIES[COUNTRY_DESCRIPTION],COUNTRIES[COUNTRY_LABEL],"")</f>
        <v>AU</v>
      </c>
      <c r="G875" t="str" cm="1">
        <f t="array" ref="G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75" t="s">
        <v>19</v>
      </c>
      <c r="I875">
        <v>0</v>
      </c>
      <c r="J875">
        <v>7</v>
      </c>
      <c r="K875">
        <v>7</v>
      </c>
      <c r="L875" t="str" cm="1">
        <f t="array" ref="L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5">
        <f>_xlfn.XLOOKUP("LOADINGSPEEDDEF_"&amp;PROPERTIES[[#This Row],[LOADINGSPEED]],LOADINGSPEEDDEF[TYPE],LOADINGSPEEDDEF[SPEED])</f>
        <v>20</v>
      </c>
      <c r="N875" cm="1">
        <f t="array" ref="N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5">
        <f>IF(ISNUMBER(SEARCH("passenger",PROPERTIES[[#This Row],[CARGODEF]])),1,0)</f>
        <v>0</v>
      </c>
      <c r="P875" s="29">
        <v>112</v>
      </c>
      <c r="Q875">
        <v>3400</v>
      </c>
      <c r="R875">
        <v>113</v>
      </c>
      <c r="S875" s="26">
        <f>181*1.3</f>
        <v>235.3</v>
      </c>
      <c r="T875" s="26">
        <f>IFERROR(PROPERTIES[[#This Row],[TE_STARTING_KN]]/(PROPERTIES[[#This Row],[WEIGHT]]*9.81),0)</f>
        <v>0.21415829328673366</v>
      </c>
      <c r="U875" s="26">
        <v>0</v>
      </c>
      <c r="V875" s="22">
        <f>ROUND(IF(IFERROR(PROPERTIES[[#This Row],[TE_COEFFICIENT_CALC]],0)=0,PROPERTIES[[#This Row],[TE_COEFFICIENT_MANUAL]],PROPERTIES[[#This Row],[TE_COEFFICIENT_CALC]]),3)</f>
        <v>0.214</v>
      </c>
      <c r="W875" s="33" cm="1">
        <f t="array" ref="W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5" s="32">
        <v>0</v>
      </c>
      <c r="Y875" s="8">
        <v>0</v>
      </c>
      <c r="Z875" s="8" t="s">
        <v>871</v>
      </c>
      <c r="AA875" t="s">
        <v>868</v>
      </c>
      <c r="AB875" s="9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8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9" t="b">
        <v>0</v>
      </c>
    </row>
    <row r="876" spans="1:34">
      <c r="A876" s="2" t="s">
        <v>3209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t="s">
        <v>1710</v>
      </c>
      <c r="F876" t="str">
        <f>_xlfn.XLOOKUP(PROPERTIES[[#This Row],[COUNTRY]],COUNTRIES[COUNTRY_DESCRIPTION],COUNTRIES[COUNTRY_LABEL],"")</f>
        <v>AU</v>
      </c>
      <c r="G876" t="str" cm="1">
        <f t="array" ref="G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6" t="s">
        <v>19</v>
      </c>
      <c r="I876">
        <v>0</v>
      </c>
      <c r="J876">
        <v>7</v>
      </c>
      <c r="K876">
        <v>7</v>
      </c>
      <c r="L876" t="str" cm="1">
        <f t="array" ref="L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6">
        <f>_xlfn.XLOOKUP("LOADINGSPEEDDEF_"&amp;PROPERTIES[[#This Row],[LOADINGSPEED]],LOADINGSPEEDDEF[TYPE],LOADINGSPEEDDEF[SPEED])</f>
        <v>20</v>
      </c>
      <c r="N876" cm="1">
        <f t="array" ref="N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6">
        <f>IF(ISNUMBER(SEARCH("passenger",PROPERTIES[[#This Row],[CARGODEF]])),1,0)</f>
        <v>0</v>
      </c>
      <c r="P876" s="29">
        <v>111</v>
      </c>
      <c r="Q876">
        <v>1750</v>
      </c>
      <c r="R876">
        <v>75</v>
      </c>
      <c r="S876" s="26">
        <f>204*1.3</f>
        <v>265.2</v>
      </c>
      <c r="T876" s="26">
        <f>IFERROR(PROPERTIES[[#This Row],[TE_STARTING_KN]]/(PROPERTIES[[#This Row],[WEIGHT]]*9.81),0)</f>
        <v>0.24354629859217011</v>
      </c>
      <c r="U876" s="26">
        <v>0</v>
      </c>
      <c r="V876" s="22">
        <f>ROUND(IF(IFERROR(PROPERTIES[[#This Row],[TE_COEFFICIENT_CALC]],0)=0,PROPERTIES[[#This Row],[TE_COEFFICIENT_MANUAL]],PROPERTIES[[#This Row],[TE_COEFFICIENT_CALC]]),3)</f>
        <v>0.24399999999999999</v>
      </c>
      <c r="W876" s="33" cm="1">
        <f t="array" ref="W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6" s="32">
        <v>0</v>
      </c>
      <c r="Y876" s="8">
        <v>0</v>
      </c>
      <c r="Z876" s="8" t="s">
        <v>871</v>
      </c>
      <c r="AA876" t="s">
        <v>868</v>
      </c>
      <c r="AB876" s="9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8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9" t="b">
        <v>1</v>
      </c>
    </row>
    <row r="877" spans="1:34">
      <c r="A877" s="2" t="s">
        <v>3213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t="s">
        <v>1710</v>
      </c>
      <c r="F877" t="str">
        <f>_xlfn.XLOOKUP(PROPERTIES[[#This Row],[COUNTRY]],COUNTRIES[COUNTRY_DESCRIPTION],COUNTRIES[COUNTRY_LABEL],"")</f>
        <v>AU</v>
      </c>
      <c r="G877" t="str" cm="1">
        <f t="array" ref="G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7" t="s">
        <v>19</v>
      </c>
      <c r="I877">
        <v>0</v>
      </c>
      <c r="J877">
        <v>6</v>
      </c>
      <c r="K877">
        <v>6</v>
      </c>
      <c r="L877" t="str" cm="1">
        <f t="array" ref="L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7">
        <f>_xlfn.XLOOKUP("LOADINGSPEEDDEF_"&amp;PROPERTIES[[#This Row],[LOADINGSPEED]],LOADINGSPEEDDEF[TYPE],LOADINGSPEEDDEF[SPEED])</f>
        <v>20</v>
      </c>
      <c r="N877" cm="1">
        <f t="array" ref="N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7">
        <f>IF(ISNUMBER(SEARCH("passenger",PROPERTIES[[#This Row],[CARGODEF]])),1,0)</f>
        <v>0</v>
      </c>
      <c r="P877" s="29">
        <v>80</v>
      </c>
      <c r="Q877">
        <v>950</v>
      </c>
      <c r="R877">
        <v>124</v>
      </c>
      <c r="S877" s="26">
        <f>165*1.3</f>
        <v>214.5</v>
      </c>
      <c r="T877" s="26">
        <f>IFERROR(PROPERTIES[[#This Row],[TE_STARTING_KN]]/(PROPERTIES[[#This Row],[WEIGHT]]*9.81),0)</f>
        <v>0.27331804281345562</v>
      </c>
      <c r="U877" s="26">
        <v>0</v>
      </c>
      <c r="V877" s="22">
        <f>ROUND(IF(IFERROR(PROPERTIES[[#This Row],[TE_COEFFICIENT_CALC]],0)=0,PROPERTIES[[#This Row],[TE_COEFFICIENT_MANUAL]],PROPERTIES[[#This Row],[TE_COEFFICIENT_CALC]]),3)</f>
        <v>0.27300000000000002</v>
      </c>
      <c r="W877" s="33" cm="1">
        <f t="array" ref="W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7" s="32">
        <v>0</v>
      </c>
      <c r="Y877" s="8">
        <v>0</v>
      </c>
      <c r="Z877" s="8" t="s">
        <v>871</v>
      </c>
      <c r="AA877" t="s">
        <v>868</v>
      </c>
      <c r="AB877" s="9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8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9" t="b">
        <v>0</v>
      </c>
    </row>
    <row r="878" spans="1:34">
      <c r="A878" s="2" t="s">
        <v>3216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t="s">
        <v>1867</v>
      </c>
      <c r="F878" t="str">
        <f>_xlfn.XLOOKUP(PROPERTIES[[#This Row],[COUNTRY]],COUNTRIES[COUNTRY_DESCRIPTION],COUNTRIES[COUNTRY_LABEL],"")</f>
        <v>NZ</v>
      </c>
      <c r="G878" t="str" cm="1">
        <f t="array" ref="G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8" t="s">
        <v>19</v>
      </c>
      <c r="I878">
        <v>0</v>
      </c>
      <c r="J878">
        <v>6</v>
      </c>
      <c r="K878">
        <v>6</v>
      </c>
      <c r="L878" t="str" cm="1">
        <f t="array" ref="L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8">
        <f>_xlfn.XLOOKUP("LOADINGSPEEDDEF_"&amp;PROPERTIES[[#This Row],[LOADINGSPEED]],LOADINGSPEEDDEF[TYPE],LOADINGSPEEDDEF[SPEED])</f>
        <v>20</v>
      </c>
      <c r="N878" cm="1">
        <f t="array" ref="N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8">
        <f>IF(ISNUMBER(SEARCH("passenger",PROPERTIES[[#This Row],[CARGODEF]])),1,0)</f>
        <v>0</v>
      </c>
      <c r="P878" s="29">
        <v>79</v>
      </c>
      <c r="Q878">
        <v>1420</v>
      </c>
      <c r="R878">
        <v>100</v>
      </c>
      <c r="S878" s="26">
        <v>140</v>
      </c>
      <c r="T878" s="26">
        <f>IFERROR(PROPERTIES[[#This Row],[TE_STARTING_KN]]/(PROPERTIES[[#This Row],[WEIGHT]]*9.81),0)</f>
        <v>0.18064749222570614</v>
      </c>
      <c r="U878" s="26">
        <v>0</v>
      </c>
      <c r="V878" s="22">
        <f>ROUND(IF(IFERROR(PROPERTIES[[#This Row],[TE_COEFFICIENT_CALC]],0)=0,PROPERTIES[[#This Row],[TE_COEFFICIENT_MANUAL]],PROPERTIES[[#This Row],[TE_COEFFICIENT_CALC]]),3)</f>
        <v>0.18099999999999999</v>
      </c>
      <c r="W878" s="33" cm="1">
        <f t="array" ref="W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8" s="32">
        <v>0</v>
      </c>
      <c r="Y878" s="8">
        <v>0</v>
      </c>
      <c r="Z878" s="8" t="s">
        <v>871</v>
      </c>
      <c r="AA878" t="s">
        <v>868</v>
      </c>
      <c r="AB878" s="9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8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9" t="b">
        <v>0</v>
      </c>
    </row>
    <row r="879" spans="1:34">
      <c r="A879" s="2" t="s">
        <v>3219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t="s">
        <v>1867</v>
      </c>
      <c r="F879" t="str">
        <f>_xlfn.XLOOKUP(PROPERTIES[[#This Row],[COUNTRY]],COUNTRIES[COUNTRY_DESCRIPTION],COUNTRIES[COUNTRY_LABEL],"")</f>
        <v>NZ</v>
      </c>
      <c r="G879" t="str" cm="1">
        <f t="array" ref="G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9" t="s">
        <v>19</v>
      </c>
      <c r="I879">
        <v>0</v>
      </c>
      <c r="J879">
        <v>6</v>
      </c>
      <c r="K879">
        <v>6</v>
      </c>
      <c r="L879" t="str" cm="1">
        <f t="array" ref="L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9">
        <f>_xlfn.XLOOKUP("LOADINGSPEEDDEF_"&amp;PROPERTIES[[#This Row],[LOADINGSPEED]],LOADINGSPEEDDEF[TYPE],LOADINGSPEEDDEF[SPEED])</f>
        <v>20</v>
      </c>
      <c r="N879" cm="1">
        <f t="array" ref="N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9">
        <f>IF(ISNUMBER(SEARCH("passenger",PROPERTIES[[#This Row],[CARGODEF]])),1,0)</f>
        <v>0</v>
      </c>
      <c r="P879" s="29">
        <v>69</v>
      </c>
      <c r="Q879">
        <v>951</v>
      </c>
      <c r="R879">
        <v>100</v>
      </c>
      <c r="S879" s="26">
        <v>100</v>
      </c>
      <c r="T879" s="26">
        <f>IFERROR(PROPERTIES[[#This Row],[TE_STARTING_KN]]/(PROPERTIES[[#This Row],[WEIGHT]]*9.81),0)</f>
        <v>0.14773449157174726</v>
      </c>
      <c r="U879" s="26">
        <v>0</v>
      </c>
      <c r="V879" s="22">
        <f>ROUND(IF(IFERROR(PROPERTIES[[#This Row],[TE_COEFFICIENT_CALC]],0)=0,PROPERTIES[[#This Row],[TE_COEFFICIENT_MANUAL]],PROPERTIES[[#This Row],[TE_COEFFICIENT_CALC]]),3)</f>
        <v>0.14799999999999999</v>
      </c>
      <c r="W879" s="33" cm="1">
        <f t="array" ref="W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9" s="32">
        <v>0</v>
      </c>
      <c r="Y879" s="8">
        <v>0</v>
      </c>
      <c r="Z879" s="8" t="s">
        <v>871</v>
      </c>
      <c r="AA879" t="s">
        <v>868</v>
      </c>
      <c r="AB879" s="9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8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9" t="b">
        <v>0</v>
      </c>
    </row>
    <row r="880" spans="1:34">
      <c r="A880" s="2" t="s">
        <v>3221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t="s">
        <v>1710</v>
      </c>
      <c r="F880" t="str">
        <f>_xlfn.XLOOKUP(PROPERTIES[[#This Row],[COUNTRY]],COUNTRIES[COUNTRY_DESCRIPTION],COUNTRIES[COUNTRY_LABEL],"")</f>
        <v>AU</v>
      </c>
      <c r="G880" t="str" cm="1">
        <f t="array" ref="G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80" t="s">
        <v>19</v>
      </c>
      <c r="I880">
        <v>0</v>
      </c>
      <c r="J880">
        <v>6</v>
      </c>
      <c r="K880">
        <v>6</v>
      </c>
      <c r="L880" t="str" cm="1">
        <f t="array" ref="L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0">
        <f>_xlfn.XLOOKUP("LOADINGSPEEDDEF_"&amp;PROPERTIES[[#This Row],[LOADINGSPEED]],LOADINGSPEEDDEF[TYPE],LOADINGSPEEDDEF[SPEED])</f>
        <v>20</v>
      </c>
      <c r="N880" cm="1">
        <f t="array" ref="N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0">
        <f>IF(ISNUMBER(SEARCH("passenger",PROPERTIES[[#This Row],[CARGODEF]])),1,0)</f>
        <v>0</v>
      </c>
      <c r="P880" s="29">
        <v>85.3</v>
      </c>
      <c r="Q880">
        <v>1126</v>
      </c>
      <c r="R880">
        <v>113</v>
      </c>
      <c r="S880" s="26">
        <f>171*1.3</f>
        <v>222.3</v>
      </c>
      <c r="T880" s="26">
        <f>IFERROR(PROPERTIES[[#This Row],[TE_STARTING_KN]]/(PROPERTIES[[#This Row],[WEIGHT]]*9.81),0)</f>
        <v>0.26565709799197651</v>
      </c>
      <c r="U880" s="26">
        <v>0</v>
      </c>
      <c r="V880" s="22">
        <f>ROUND(IF(IFERROR(PROPERTIES[[#This Row],[TE_COEFFICIENT_CALC]],0)=0,PROPERTIES[[#This Row],[TE_COEFFICIENT_MANUAL]],PROPERTIES[[#This Row],[TE_COEFFICIENT_CALC]]),3)</f>
        <v>0.26600000000000001</v>
      </c>
      <c r="W880" s="33" cm="1">
        <f t="array" ref="W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80" s="32">
        <v>0</v>
      </c>
      <c r="Y880" s="8">
        <v>0</v>
      </c>
      <c r="Z880" s="8" t="s">
        <v>871</v>
      </c>
      <c r="AA880" t="s">
        <v>868</v>
      </c>
      <c r="AB880" s="9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8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9" t="b">
        <v>0</v>
      </c>
    </row>
    <row r="881" spans="1:34">
      <c r="A881" s="2" t="s">
        <v>3224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t="s">
        <v>1728</v>
      </c>
      <c r="F881" t="str">
        <f>_xlfn.XLOOKUP(PROPERTIES[[#This Row],[COUNTRY]],COUNTRIES[COUNTRY_DESCRIPTION],COUNTRIES[COUNTRY_LABEL],"")</f>
        <v>BR</v>
      </c>
      <c r="G881" t="str" cm="1">
        <f t="array" ref="G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1" t="s">
        <v>19</v>
      </c>
      <c r="I881">
        <v>0</v>
      </c>
      <c r="J881">
        <v>4</v>
      </c>
      <c r="K881">
        <v>7</v>
      </c>
      <c r="L881" t="str" cm="1">
        <f t="array" ref="L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1">
        <f>_xlfn.XLOOKUP("LOADINGSPEEDDEF_"&amp;PROPERTIES[[#This Row],[LOADINGSPEED]],LOADINGSPEEDDEF[TYPE],LOADINGSPEEDDEF[SPEED])</f>
        <v>20</v>
      </c>
      <c r="N881" cm="1">
        <f t="array" ref="N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1">
        <f>IF(ISNUMBER(SEARCH("passenger",PROPERTIES[[#This Row],[CARGODEF]])),1,0)</f>
        <v>0</v>
      </c>
      <c r="P881" s="29">
        <v>17</v>
      </c>
      <c r="Q881">
        <v>50</v>
      </c>
      <c r="R881">
        <v>35</v>
      </c>
      <c r="S881" s="26">
        <v>0</v>
      </c>
      <c r="T881" s="25">
        <f>IFERROR(PROPERTIES[[#This Row],[TE_STARTING_KN]]/(PROPERTIES[[#This Row],[WEIGHT]]*9.81),0)</f>
        <v>0</v>
      </c>
      <c r="U881" s="25">
        <v>0.09</v>
      </c>
      <c r="V881" s="22">
        <f>ROUND(IF(IFERROR(PROPERTIES[[#This Row],[TE_COEFFICIENT_CALC]],0)=0,PROPERTIES[[#This Row],[TE_COEFFICIENT_MANUAL]],PROPERTIES[[#This Row],[TE_COEFFICIENT_CALC]]),3)</f>
        <v>0.09</v>
      </c>
      <c r="W881" s="10" cm="1">
        <f t="array" ref="W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81" s="32">
        <v>0</v>
      </c>
      <c r="Y881" s="8">
        <v>3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8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9" t="b">
        <v>0</v>
      </c>
    </row>
    <row r="882" spans="1:34">
      <c r="A882" s="2" t="s">
        <v>3227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t="s">
        <v>1707</v>
      </c>
      <c r="F882" t="str">
        <f>_xlfn.XLOOKUP(PROPERTIES[[#This Row],[COUNTRY]],COUNTRIES[COUNTRY_DESCRIPTION],COUNTRIES[COUNTRY_LABEL],"")</f>
        <v>AR</v>
      </c>
      <c r="G882" t="str" cm="1">
        <f t="array" ref="G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2" t="s">
        <v>19</v>
      </c>
      <c r="I882">
        <v>0</v>
      </c>
      <c r="J882">
        <v>5</v>
      </c>
      <c r="K882">
        <v>7</v>
      </c>
      <c r="L882" t="str" cm="1">
        <f t="array" ref="L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2">
        <f>_xlfn.XLOOKUP("LOADINGSPEEDDEF_"&amp;PROPERTIES[[#This Row],[LOADINGSPEED]],LOADINGSPEEDDEF[TYPE],LOADINGSPEEDDEF[SPEED])</f>
        <v>20</v>
      </c>
      <c r="N882" cm="1">
        <f t="array" ref="N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2">
        <f>IF(ISNUMBER(SEARCH("passenger",PROPERTIES[[#This Row],[CARGODEF]])),1,0)</f>
        <v>0</v>
      </c>
      <c r="P882" s="29">
        <v>15.2</v>
      </c>
      <c r="Q882">
        <v>100</v>
      </c>
      <c r="R882">
        <v>25</v>
      </c>
      <c r="S882" s="26">
        <v>27.11</v>
      </c>
      <c r="T882" s="25">
        <f>IFERROR(PROPERTIES[[#This Row],[TE_STARTING_KN]]/(PROPERTIES[[#This Row],[WEIGHT]]*9.81),0)</f>
        <v>0.18180964644025968</v>
      </c>
      <c r="U882" s="25">
        <v>0.18</v>
      </c>
      <c r="V882" s="22">
        <f>ROUND(IF(IFERROR(PROPERTIES[[#This Row],[TE_COEFFICIENT_CALC]],0)=0,PROPERTIES[[#This Row],[TE_COEFFICIENT_MANUAL]],PROPERTIES[[#This Row],[TE_COEFFICIENT_CALC]]),3)</f>
        <v>0.182</v>
      </c>
      <c r="W882" s="10" cm="1">
        <f t="array" ref="W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82" s="32">
        <v>0</v>
      </c>
      <c r="Y882" s="8">
        <v>2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8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9" t="b">
        <v>0</v>
      </c>
    </row>
    <row r="883" spans="1:34">
      <c r="A883" s="2" t="s">
        <v>3231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t="s">
        <v>1728</v>
      </c>
      <c r="F883" t="str">
        <f>_xlfn.XLOOKUP(PROPERTIES[[#This Row],[COUNTRY]],COUNTRIES[COUNTRY_DESCRIPTION],COUNTRIES[COUNTRY_LABEL],"")</f>
        <v>BR</v>
      </c>
      <c r="G883" t="str" cm="1">
        <f t="array" ref="G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3" t="s">
        <v>19</v>
      </c>
      <c r="I883">
        <v>0</v>
      </c>
      <c r="J883">
        <v>8</v>
      </c>
      <c r="K883">
        <v>11</v>
      </c>
      <c r="L883" t="str" cm="1">
        <f t="array" ref="L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3">
        <f>_xlfn.XLOOKUP("LOADINGSPEEDDEF_"&amp;PROPERTIES[[#This Row],[LOADINGSPEED]],LOADINGSPEEDDEF[TYPE],LOADINGSPEEDDEF[SPEED])</f>
        <v>20</v>
      </c>
      <c r="N883" cm="1">
        <f t="array" ref="N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3">
        <f>IF(ISNUMBER(SEARCH("passenger",PROPERTIES[[#This Row],[CARGODEF]])),1,0)</f>
        <v>0</v>
      </c>
      <c r="P883" s="29">
        <v>102</v>
      </c>
      <c r="Q883">
        <v>626</v>
      </c>
      <c r="R883">
        <v>50</v>
      </c>
      <c r="S883" s="26">
        <v>148</v>
      </c>
      <c r="T883" s="25">
        <f>IFERROR(PROPERTIES[[#This Row],[TE_STARTING_KN]]/(PROPERTIES[[#This Row],[WEIGHT]]*9.81),0)</f>
        <v>0.14790829685594931</v>
      </c>
      <c r="U883" s="25">
        <v>0</v>
      </c>
      <c r="V883" s="22">
        <f>ROUND(IF(IFERROR(PROPERTIES[[#This Row],[TE_COEFFICIENT_CALC]],0)=0,PROPERTIES[[#This Row],[TE_COEFFICIENT_MANUAL]],PROPERTIES[[#This Row],[TE_COEFFICIENT_CALC]]),3)</f>
        <v>0.14799999999999999</v>
      </c>
      <c r="W883" s="10" cm="1">
        <f t="array" ref="W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3" s="32">
        <v>0</v>
      </c>
      <c r="Y883" s="8">
        <v>3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8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3" s="2" t="b">
        <v>0</v>
      </c>
      <c r="AH883" s="9" t="b">
        <v>0</v>
      </c>
    </row>
    <row r="884" spans="1:34">
      <c r="A884" s="2" t="s">
        <v>3233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t="s">
        <v>1870</v>
      </c>
      <c r="F884" t="str">
        <f>_xlfn.XLOOKUP(PROPERTIES[[#This Row],[COUNTRY]],COUNTRIES[COUNTRY_DESCRIPTION],COUNTRIES[COUNTRY_LABEL],"")</f>
        <v>PE</v>
      </c>
      <c r="G884" t="str" cm="1">
        <f t="array" ref="G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4" t="s">
        <v>19</v>
      </c>
      <c r="I884">
        <v>0</v>
      </c>
      <c r="J884">
        <v>7</v>
      </c>
      <c r="K884">
        <v>11</v>
      </c>
      <c r="L884" t="str" cm="1">
        <f t="array" ref="L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4">
        <f>_xlfn.XLOOKUP("LOADINGSPEEDDEF_"&amp;PROPERTIES[[#This Row],[LOADINGSPEED]],LOADINGSPEEDDEF[TYPE],LOADINGSPEEDDEF[SPEED])</f>
        <v>20</v>
      </c>
      <c r="N884" cm="1">
        <f t="array" ref="N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4">
        <f>IF(ISNUMBER(SEARCH("passenger",PROPERTIES[[#This Row],[CARGODEF]])),1,0)</f>
        <v>0</v>
      </c>
      <c r="P884" s="29">
        <v>44</v>
      </c>
      <c r="Q884">
        <v>438</v>
      </c>
      <c r="R884">
        <v>80</v>
      </c>
      <c r="S884" s="26">
        <v>44</v>
      </c>
      <c r="T884" s="25">
        <f>IFERROR(PROPERTIES[[#This Row],[TE_STARTING_KN]]/(PROPERTIES[[#This Row],[WEIGHT]]*9.81),0)</f>
        <v>0.1019367991845056</v>
      </c>
      <c r="U884" s="25">
        <v>0.17</v>
      </c>
      <c r="V884" s="22">
        <f>ROUND(IF(IFERROR(PROPERTIES[[#This Row],[TE_COEFFICIENT_CALC]],0)=0,PROPERTIES[[#This Row],[TE_COEFFICIENT_MANUAL]],PROPERTIES[[#This Row],[TE_COEFFICIENT_CALC]]),3)</f>
        <v>0.10199999999999999</v>
      </c>
      <c r="W884" s="10" cm="1">
        <f t="array" ref="W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4" s="32">
        <v>0</v>
      </c>
      <c r="Y884" s="8">
        <v>4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8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9" t="b">
        <v>0</v>
      </c>
    </row>
    <row r="885" spans="1:34">
      <c r="A885" s="2" t="s">
        <v>3236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t="s">
        <v>1882</v>
      </c>
      <c r="F885" t="str">
        <f>_xlfn.XLOOKUP(PROPERTIES[[#This Row],[COUNTRY]],COUNTRIES[COUNTRY_DESCRIPTION],COUNTRIES[COUNTRY_LABEL],"")</f>
        <v>PY</v>
      </c>
      <c r="G885" t="str" cm="1">
        <f t="array" ref="G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5" t="s">
        <v>19</v>
      </c>
      <c r="I885">
        <v>0</v>
      </c>
      <c r="J885">
        <v>5</v>
      </c>
      <c r="K885">
        <v>8</v>
      </c>
      <c r="L885" t="str" cm="1">
        <f t="array" ref="L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5">
        <f>_xlfn.XLOOKUP("LOADINGSPEEDDEF_"&amp;PROPERTIES[[#This Row],[LOADINGSPEED]],LOADINGSPEEDDEF[TYPE],LOADINGSPEEDDEF[SPEED])</f>
        <v>20</v>
      </c>
      <c r="N885" cm="1">
        <f t="array" ref="N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5">
        <f>IF(ISNUMBER(SEARCH("passenger",PROPERTIES[[#This Row],[CARGODEF]])),1,0)</f>
        <v>0</v>
      </c>
      <c r="P885" s="29">
        <v>84.5</v>
      </c>
      <c r="Q885">
        <v>650</v>
      </c>
      <c r="R885">
        <v>75</v>
      </c>
      <c r="S885" s="26">
        <v>0</v>
      </c>
      <c r="T885" s="25">
        <f>IFERROR(PROPERTIES[[#This Row],[TE_STARTING_KN]]/(PROPERTIES[[#This Row],[WEIGHT]]*9.81),0)</f>
        <v>0</v>
      </c>
      <c r="U885" s="25">
        <v>0.1</v>
      </c>
      <c r="V885" s="22">
        <f>ROUND(IF(IFERROR(PROPERTIES[[#This Row],[TE_COEFFICIENT_CALC]],0)=0,PROPERTIES[[#This Row],[TE_COEFFICIENT_MANUAL]],PROPERTIES[[#This Row],[TE_COEFFICIENT_CALC]]),3)</f>
        <v>0.1</v>
      </c>
      <c r="W885" s="10" cm="1">
        <f t="array" ref="W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5" s="32">
        <v>0</v>
      </c>
      <c r="Y885" s="8">
        <v>3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8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9" t="b">
        <v>0</v>
      </c>
    </row>
    <row r="886" spans="1:34">
      <c r="A886" s="2" t="s">
        <v>3238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t="s">
        <v>1707</v>
      </c>
      <c r="F886" t="str">
        <f>_xlfn.XLOOKUP(PROPERTIES[[#This Row],[COUNTRY]],COUNTRIES[COUNTRY_DESCRIPTION],COUNTRIES[COUNTRY_LABEL],"")</f>
        <v>AR</v>
      </c>
      <c r="G886" t="str" cm="1">
        <f t="array" ref="G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6" t="s">
        <v>19</v>
      </c>
      <c r="I886">
        <v>0</v>
      </c>
      <c r="J886">
        <v>6</v>
      </c>
      <c r="K886">
        <v>10</v>
      </c>
      <c r="L886" t="str" cm="1">
        <f t="array" ref="L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6">
        <f>_xlfn.XLOOKUP("LOADINGSPEEDDEF_"&amp;PROPERTIES[[#This Row],[LOADINGSPEED]],LOADINGSPEEDDEF[TYPE],LOADINGSPEEDDEF[SPEED])</f>
        <v>20</v>
      </c>
      <c r="N886" cm="1">
        <f t="array" ref="N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6">
        <f>IF(ISNUMBER(SEARCH("passenger",PROPERTIES[[#This Row],[CARGODEF]])),1,0)</f>
        <v>0</v>
      </c>
      <c r="P886" s="29">
        <v>150</v>
      </c>
      <c r="Q886">
        <v>900</v>
      </c>
      <c r="R886">
        <v>140</v>
      </c>
      <c r="S886" s="26">
        <v>97</v>
      </c>
      <c r="T886" s="25">
        <f>IFERROR(PROPERTIES[[#This Row],[TE_STARTING_KN]]/(PROPERTIES[[#This Row],[WEIGHT]]*9.81),0)</f>
        <v>6.5919130139313623E-2</v>
      </c>
      <c r="U886" s="25">
        <v>0.1</v>
      </c>
      <c r="V886" s="22">
        <f>ROUND(IF(IFERROR(PROPERTIES[[#This Row],[TE_COEFFICIENT_CALC]],0)=0,PROPERTIES[[#This Row],[TE_COEFFICIENT_MANUAL]],PROPERTIES[[#This Row],[TE_COEFFICIENT_CALC]]),3)</f>
        <v>6.6000000000000003E-2</v>
      </c>
      <c r="W886" s="10" cm="1">
        <f t="array" ref="W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86" s="32">
        <v>0</v>
      </c>
      <c r="Y886" s="8">
        <v>4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8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9" t="b">
        <v>0</v>
      </c>
    </row>
    <row r="887" spans="1:34">
      <c r="A887" s="2" t="s">
        <v>3241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t="s">
        <v>1743</v>
      </c>
      <c r="F887" t="str">
        <f>_xlfn.XLOOKUP(PROPERTIES[[#This Row],[COUNTRY]],COUNTRIES[COUNTRY_DESCRIPTION],COUNTRIES[COUNTRY_LABEL],"")</f>
        <v>CL</v>
      </c>
      <c r="G887" t="str" cm="1">
        <f t="array" ref="G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7" t="s">
        <v>19</v>
      </c>
      <c r="I887">
        <v>0</v>
      </c>
      <c r="J887">
        <v>8</v>
      </c>
      <c r="K887">
        <v>8</v>
      </c>
      <c r="L887" t="str" cm="1">
        <f t="array" ref="L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7">
        <f>_xlfn.XLOOKUP("LOADINGSPEEDDEF_"&amp;PROPERTIES[[#This Row],[LOADINGSPEED]],LOADINGSPEEDDEF[TYPE],LOADINGSPEEDDEF[SPEED])</f>
        <v>20</v>
      </c>
      <c r="N887" cm="1">
        <f t="array" ref="N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7">
        <f>IF(ISNUMBER(SEARCH("passenger",PROPERTIES[[#This Row],[CARGODEF]])),1,0)</f>
        <v>0</v>
      </c>
      <c r="P887" s="29">
        <v>112</v>
      </c>
      <c r="Q887">
        <v>1300</v>
      </c>
      <c r="R887">
        <v>61</v>
      </c>
      <c r="S887" s="26">
        <v>156.85763828079999</v>
      </c>
      <c r="T887" s="26">
        <f>IFERROR(PROPERTIES[[#This Row],[TE_STARTING_KN]]/(PROPERTIES[[#This Row],[WEIGHT]]*9.81),0)</f>
        <v>0.14276397833915827</v>
      </c>
      <c r="U887" s="26">
        <v>0</v>
      </c>
      <c r="V887" s="22">
        <f>ROUND(IF(IFERROR(PROPERTIES[[#This Row],[TE_COEFFICIENT_CALC]],0)=0,PROPERTIES[[#This Row],[TE_COEFFICIENT_MANUAL]],PROPERTIES[[#This Row],[TE_COEFFICIENT_CALC]]),3)</f>
        <v>0.14299999999999999</v>
      </c>
      <c r="W887" s="33" cm="1">
        <f t="array" ref="W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7" s="32">
        <v>0</v>
      </c>
      <c r="Y887" s="8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8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9" t="b">
        <v>0</v>
      </c>
    </row>
    <row r="888" spans="1:34">
      <c r="A888" t="s">
        <v>3244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t="s">
        <v>1728</v>
      </c>
      <c r="F888" t="str">
        <f>_xlfn.XLOOKUP(PROPERTIES[[#This Row],[COUNTRY]],COUNTRIES[COUNTRY_DESCRIPTION],COUNTRIES[COUNTRY_LABEL],"")</f>
        <v>BR</v>
      </c>
      <c r="G888" t="str" cm="1">
        <f t="array" ref="G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8" t="s">
        <v>19</v>
      </c>
      <c r="I888">
        <v>0</v>
      </c>
      <c r="J888">
        <v>7</v>
      </c>
      <c r="K888">
        <v>7</v>
      </c>
      <c r="L888" t="str" cm="1">
        <f t="array" ref="L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8">
        <f>_xlfn.XLOOKUP("LOADINGSPEEDDEF_"&amp;PROPERTIES[[#This Row],[LOADINGSPEED]],LOADINGSPEEDDEF[TYPE],LOADINGSPEEDDEF[SPEED])</f>
        <v>20</v>
      </c>
      <c r="N888" cm="1">
        <f t="array" ref="N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8">
        <f>IF(ISNUMBER(SEARCH("passenger",PROPERTIES[[#This Row],[CARGODEF]])),1,0)</f>
        <v>0</v>
      </c>
      <c r="P888" s="29">
        <v>123.4</v>
      </c>
      <c r="Q888">
        <v>2520</v>
      </c>
      <c r="R888">
        <v>105</v>
      </c>
      <c r="S888" s="26">
        <v>127</v>
      </c>
      <c r="T888" s="26">
        <f>IFERROR(PROPERTIES[[#This Row],[TE_STARTING_KN]]/(PROPERTIES[[#This Row],[WEIGHT]]*9.81),0)</f>
        <v>0.10491064421744094</v>
      </c>
      <c r="U888" s="26">
        <v>0</v>
      </c>
      <c r="V888" s="22">
        <f>ROUND(IF(IFERROR(PROPERTIES[[#This Row],[TE_COEFFICIENT_CALC]],0)=0,PROPERTIES[[#This Row],[TE_COEFFICIENT_MANUAL]],PROPERTIES[[#This Row],[TE_COEFFICIENT_CALC]]),3)</f>
        <v>0.105</v>
      </c>
      <c r="W888" s="33" cm="1">
        <f t="array" ref="W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88" s="32">
        <v>0</v>
      </c>
      <c r="Y888" s="8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8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9" t="b">
        <v>0</v>
      </c>
    </row>
    <row r="889" spans="1:34">
      <c r="A889" t="s">
        <v>3248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t="s">
        <v>1728</v>
      </c>
      <c r="F889" t="str">
        <f>_xlfn.XLOOKUP(PROPERTIES[[#This Row],[COUNTRY]],COUNTRIES[COUNTRY_DESCRIPTION],COUNTRIES[COUNTRY_LABEL],"")</f>
        <v>BR</v>
      </c>
      <c r="G889" t="str" cm="1">
        <f t="array" ref="G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9" t="s">
        <v>19</v>
      </c>
      <c r="I889">
        <v>0</v>
      </c>
      <c r="J889">
        <v>8</v>
      </c>
      <c r="K889">
        <v>8</v>
      </c>
      <c r="L889" t="str" cm="1">
        <f t="array" ref="L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9">
        <f>_xlfn.XLOOKUP("LOADINGSPEEDDEF_"&amp;PROPERTIES[[#This Row],[LOADINGSPEED]],LOADINGSPEEDDEF[TYPE],LOADINGSPEEDDEF[SPEED])</f>
        <v>20</v>
      </c>
      <c r="N889" cm="1">
        <f t="array" ref="N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9">
        <f>IF(ISNUMBER(SEARCH("passenger",PROPERTIES[[#This Row],[CARGODEF]])),1,0)</f>
        <v>0</v>
      </c>
      <c r="P889" s="29">
        <v>165.1</v>
      </c>
      <c r="Q889">
        <v>3870</v>
      </c>
      <c r="R889">
        <v>145</v>
      </c>
      <c r="S889" s="26">
        <v>337</v>
      </c>
      <c r="T889" s="26">
        <f>IFERROR(PROPERTIES[[#This Row],[TE_STARTING_KN]]/(PROPERTIES[[#This Row],[WEIGHT]]*9.81),0)</f>
        <v>0.20807208555529005</v>
      </c>
      <c r="U889" s="26">
        <v>0</v>
      </c>
      <c r="V889" s="22">
        <f>ROUND(IF(IFERROR(PROPERTIES[[#This Row],[TE_COEFFICIENT_CALC]],0)=0,PROPERTIES[[#This Row],[TE_COEFFICIENT_MANUAL]],PROPERTIES[[#This Row],[TE_COEFFICIENT_CALC]]),3)</f>
        <v>0.20799999999999999</v>
      </c>
      <c r="W889" s="33" cm="1">
        <f t="array" ref="W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89" s="32">
        <v>0</v>
      </c>
      <c r="Y889" s="8">
        <v>0</v>
      </c>
      <c r="Z889" t="s">
        <v>881</v>
      </c>
      <c r="AA889" t="s">
        <v>3514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8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9" t="b">
        <v>0</v>
      </c>
    </row>
    <row r="890" spans="1:34">
      <c r="A890" s="2" t="s">
        <v>3261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t="s">
        <v>1743</v>
      </c>
      <c r="F890" t="str">
        <f>_xlfn.XLOOKUP(PROPERTIES[[#This Row],[COUNTRY]],COUNTRIES[COUNTRY_DESCRIPTION],COUNTRIES[COUNTRY_LABEL],"")</f>
        <v>CL</v>
      </c>
      <c r="G890" t="str" cm="1">
        <f t="array" ref="G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0" t="s">
        <v>19</v>
      </c>
      <c r="I890">
        <v>0</v>
      </c>
      <c r="J890">
        <v>5</v>
      </c>
      <c r="K890">
        <v>8</v>
      </c>
      <c r="L890" t="str" cm="1">
        <f t="array" ref="L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0">
        <f>_xlfn.XLOOKUP("LOADINGSPEEDDEF_"&amp;PROPERTIES[[#This Row],[LOADINGSPEED]],LOADINGSPEEDDEF[TYPE],LOADINGSPEEDDEF[SPEED])</f>
        <v>20</v>
      </c>
      <c r="N890" cm="1">
        <f t="array" ref="N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0">
        <f>IF(ISNUMBER(SEARCH("passenger",PROPERTIES[[#This Row],[CARGODEF]])),1,0)</f>
        <v>0</v>
      </c>
      <c r="P890" s="29">
        <v>40</v>
      </c>
      <c r="Q890">
        <v>400</v>
      </c>
      <c r="R890">
        <v>30</v>
      </c>
      <c r="S890" s="26">
        <v>62.4</v>
      </c>
      <c r="T890" s="26">
        <f>IFERROR(PROPERTIES[[#This Row],[TE_STARTING_KN]]/(PROPERTIES[[#This Row],[WEIGHT]]*9.81),0)</f>
        <v>0.15902140672782872</v>
      </c>
      <c r="U890" s="26">
        <v>0</v>
      </c>
      <c r="V890" s="22">
        <f>ROUND(IF(IFERROR(PROPERTIES[[#This Row],[TE_COEFFICIENT_CALC]],0)=0,PROPERTIES[[#This Row],[TE_COEFFICIENT_MANUAL]],PROPERTIES[[#This Row],[TE_COEFFICIENT_CALC]]),3)</f>
        <v>0.159</v>
      </c>
      <c r="W890" s="33" cm="1">
        <f t="array" ref="W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X890" s="32">
        <v>0</v>
      </c>
      <c r="Y890" s="8">
        <v>3</v>
      </c>
      <c r="Z890" t="s">
        <v>876</v>
      </c>
      <c r="AA890" t="s">
        <v>868</v>
      </c>
      <c r="AB890" s="9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8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9" t="b">
        <v>0</v>
      </c>
    </row>
    <row r="891" spans="1:34">
      <c r="A891" s="2" t="s">
        <v>3255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t="s">
        <v>1747</v>
      </c>
      <c r="F891" t="str">
        <f>_xlfn.XLOOKUP(PROPERTIES[[#This Row],[COUNTRY]],COUNTRIES[COUNTRY_DESCRIPTION],COUNTRIES[COUNTRY_LABEL],"")</f>
        <v>CR</v>
      </c>
      <c r="G891" t="str" cm="1">
        <f t="array" ref="G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1" t="s">
        <v>19</v>
      </c>
      <c r="I891">
        <v>0</v>
      </c>
      <c r="J891">
        <v>5</v>
      </c>
      <c r="K891">
        <v>5</v>
      </c>
      <c r="L891" t="str" cm="1">
        <f t="array" ref="L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1">
        <f>_xlfn.XLOOKUP("LOADINGSPEEDDEF_"&amp;PROPERTIES[[#This Row],[LOADINGSPEED]],LOADINGSPEEDDEF[TYPE],LOADINGSPEEDDEF[SPEED])</f>
        <v>20</v>
      </c>
      <c r="N891" cm="1">
        <f t="array" ref="N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1">
        <f>IF(ISNUMBER(SEARCH("passenger",PROPERTIES[[#This Row],[CARGODEF]])),1,0)</f>
        <v>0</v>
      </c>
      <c r="P891" s="29">
        <v>56.8</v>
      </c>
      <c r="Q891">
        <v>650</v>
      </c>
      <c r="R891">
        <v>50</v>
      </c>
      <c r="S891" s="26">
        <v>0</v>
      </c>
      <c r="T891" s="25">
        <f>IFERROR(PROPERTIES[[#This Row],[TE_STARTING_KN]]/(PROPERTIES[[#This Row],[WEIGHT]]*9.81),0)</f>
        <v>0</v>
      </c>
      <c r="U891" s="25">
        <v>0.15</v>
      </c>
      <c r="V891" s="22">
        <f>ROUND(IF(IFERROR(PROPERTIES[[#This Row],[TE_COEFFICIENT_CALC]],0)=0,PROPERTIES[[#This Row],[TE_COEFFICIENT_MANUAL]],PROPERTIES[[#This Row],[TE_COEFFICIENT_CALC]]),3)</f>
        <v>0.15</v>
      </c>
      <c r="W891" s="10" cm="1">
        <f t="array" ref="W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91" s="32">
        <v>0</v>
      </c>
      <c r="Y891" s="8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8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9" t="b">
        <v>0</v>
      </c>
    </row>
    <row r="892" spans="1:34">
      <c r="A892" s="2" t="s">
        <v>3259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t="s">
        <v>1707</v>
      </c>
      <c r="F892" t="str">
        <f>_xlfn.XLOOKUP(PROPERTIES[[#This Row],[COUNTRY]],COUNTRIES[COUNTRY_DESCRIPTION],COUNTRIES[COUNTRY_LABEL],"")</f>
        <v>AR</v>
      </c>
      <c r="G892" t="str" cm="1">
        <f t="array" ref="G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2" t="s">
        <v>17</v>
      </c>
      <c r="I892">
        <f>110/2</f>
        <v>55</v>
      </c>
      <c r="J892">
        <v>8</v>
      </c>
      <c r="K892">
        <v>8</v>
      </c>
      <c r="L892" t="str" cm="1">
        <f t="array" ref="L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2">
        <f>_xlfn.XLOOKUP("LOADINGSPEEDDEF_"&amp;PROPERTIES[[#This Row],[LOADINGSPEED]],LOADINGSPEEDDEF[TYPE],LOADINGSPEEDDEF[SPEED])</f>
        <v>40</v>
      </c>
      <c r="N892" cm="1">
        <f t="array" ref="N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2">
        <f>IF(ISNUMBER(SEARCH("passenger",PROPERTIES[[#This Row],[CARGODEF]])),1,0)</f>
        <v>1</v>
      </c>
      <c r="P892" s="29">
        <f>138/3</f>
        <v>46</v>
      </c>
      <c r="Q892">
        <v>640</v>
      </c>
      <c r="R892">
        <v>110</v>
      </c>
      <c r="S892" s="26">
        <v>38</v>
      </c>
      <c r="T892" s="25">
        <f>IFERROR(PROPERTIES[[#This Row],[TE_STARTING_KN]]/(PROPERTIES[[#This Row],[WEIGHT]]*9.81),0)</f>
        <v>8.4208660195895929E-2</v>
      </c>
      <c r="U892" s="25">
        <v>0.19</v>
      </c>
      <c r="V892" s="22">
        <f>ROUND(IF(IFERROR(PROPERTIES[[#This Row],[TE_COEFFICIENT_CALC]],0)=0,PROPERTIES[[#This Row],[TE_COEFFICIENT_MANUAL]],PROPERTIES[[#This Row],[TE_COEFFICIENT_CALC]]),3)</f>
        <v>8.4000000000000005E-2</v>
      </c>
      <c r="W892" s="10" cm="1">
        <f t="array" ref="W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2" s="32">
        <v>55</v>
      </c>
      <c r="Y892" s="8">
        <v>8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8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9" t="b">
        <v>0</v>
      </c>
    </row>
    <row r="893" spans="1:34">
      <c r="A893" s="2" t="s">
        <v>3262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t="s">
        <v>1728</v>
      </c>
      <c r="F893" t="str">
        <f>_xlfn.XLOOKUP(PROPERTIES[[#This Row],[COUNTRY]],COUNTRIES[COUNTRY_DESCRIPTION],COUNTRIES[COUNTRY_LABEL],"")</f>
        <v>BR</v>
      </c>
      <c r="G893" t="str" cm="1">
        <f t="array" ref="G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3" t="s">
        <v>19</v>
      </c>
      <c r="I893">
        <v>0</v>
      </c>
      <c r="J893">
        <v>5</v>
      </c>
      <c r="K893">
        <v>7</v>
      </c>
      <c r="L893" t="str" cm="1">
        <f t="array" ref="L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3">
        <f>_xlfn.XLOOKUP("LOADINGSPEEDDEF_"&amp;PROPERTIES[[#This Row],[LOADINGSPEED]],LOADINGSPEEDDEF[TYPE],LOADINGSPEEDDEF[SPEED])</f>
        <v>20</v>
      </c>
      <c r="N893" cm="1">
        <f t="array" ref="N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3">
        <f>IF(ISNUMBER(SEARCH("passenger",PROPERTIES[[#This Row],[CARGODEF]])),1,0)</f>
        <v>0</v>
      </c>
      <c r="P893" s="29">
        <v>30</v>
      </c>
      <c r="Q893">
        <v>275</v>
      </c>
      <c r="R893">
        <v>25</v>
      </c>
      <c r="S893" s="26">
        <v>58.07</v>
      </c>
      <c r="T893" s="25">
        <f>IFERROR(PROPERTIES[[#This Row],[TE_STARTING_KN]]/(PROPERTIES[[#This Row],[WEIGHT]]*9.81),0)</f>
        <v>0.19731566428814135</v>
      </c>
      <c r="U893" s="25">
        <v>0.18</v>
      </c>
      <c r="V893" s="22">
        <f>ROUND(IF(IFERROR(PROPERTIES[[#This Row],[TE_COEFFICIENT_CALC]],0)=0,PROPERTIES[[#This Row],[TE_COEFFICIENT_MANUAL]],PROPERTIES[[#This Row],[TE_COEFFICIENT_CALC]]),3)</f>
        <v>0.19700000000000001</v>
      </c>
      <c r="W893" s="10" cm="1">
        <f t="array" ref="W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3" s="32">
        <v>0</v>
      </c>
      <c r="Y893" s="8">
        <v>2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8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9" t="b">
        <v>0</v>
      </c>
    </row>
    <row r="894" spans="1:34">
      <c r="A894" s="2" t="s">
        <v>3266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t="s">
        <v>1707</v>
      </c>
      <c r="F894" t="str">
        <f>_xlfn.XLOOKUP(PROPERTIES[[#This Row],[COUNTRY]],COUNTRIES[COUNTRY_DESCRIPTION],COUNTRIES[COUNTRY_LABEL],"")</f>
        <v>AR</v>
      </c>
      <c r="G894" t="str" cm="1">
        <f t="array" ref="G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4" t="s">
        <v>17</v>
      </c>
      <c r="I894">
        <f>110/2</f>
        <v>55</v>
      </c>
      <c r="J894">
        <v>8</v>
      </c>
      <c r="K894">
        <v>8</v>
      </c>
      <c r="L894" t="str" cm="1">
        <f t="array" ref="L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4">
        <f>_xlfn.XLOOKUP("LOADINGSPEEDDEF_"&amp;PROPERTIES[[#This Row],[LOADINGSPEED]],LOADINGSPEEDDEF[TYPE],LOADINGSPEEDDEF[SPEED])</f>
        <v>40</v>
      </c>
      <c r="N894" cm="1">
        <f t="array" ref="N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4">
        <f>IF(ISNUMBER(SEARCH("passenger",PROPERTIES[[#This Row],[CARGODEF]])),1,0)</f>
        <v>1</v>
      </c>
      <c r="P894" s="29">
        <f>138/3</f>
        <v>46</v>
      </c>
      <c r="Q894">
        <v>1100</v>
      </c>
      <c r="R894">
        <v>80</v>
      </c>
      <c r="S894" s="26">
        <v>38</v>
      </c>
      <c r="T894" s="25">
        <f>IFERROR(PROPERTIES[[#This Row],[TE_STARTING_KN]]/(PROPERTIES[[#This Row],[WEIGHT]]*9.81),0)</f>
        <v>8.4208660195895929E-2</v>
      </c>
      <c r="U894" s="25">
        <v>0.19</v>
      </c>
      <c r="V894" s="22">
        <f>ROUND(IF(IFERROR(PROPERTIES[[#This Row],[TE_COEFFICIENT_CALC]],0)=0,PROPERTIES[[#This Row],[TE_COEFFICIENT_MANUAL]],PROPERTIES[[#This Row],[TE_COEFFICIENT_CALC]]),3)</f>
        <v>8.4000000000000005E-2</v>
      </c>
      <c r="W894" s="10" cm="1">
        <f t="array" ref="W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4" s="32">
        <v>55</v>
      </c>
      <c r="Y894" s="8">
        <v>8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8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9" t="b">
        <v>0</v>
      </c>
    </row>
    <row r="895" spans="1:34">
      <c r="A895" s="2" t="s">
        <v>3269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t="s">
        <v>1743</v>
      </c>
      <c r="F895" t="str">
        <f>_xlfn.XLOOKUP(PROPERTIES[[#This Row],[COUNTRY]],COUNTRIES[COUNTRY_DESCRIPTION],COUNTRIES[COUNTRY_LABEL],"")</f>
        <v>CL</v>
      </c>
      <c r="G895" t="str" cm="1">
        <f t="array" ref="G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5" t="s">
        <v>17</v>
      </c>
      <c r="I895">
        <v>88</v>
      </c>
      <c r="J895">
        <v>7</v>
      </c>
      <c r="K895">
        <v>7</v>
      </c>
      <c r="L895" t="str" cm="1">
        <f t="array" ref="L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5">
        <f>_xlfn.XLOOKUP("LOADINGSPEEDDEF_"&amp;PROPERTIES[[#This Row],[LOADINGSPEED]],LOADINGSPEEDDEF[TYPE],LOADINGSPEEDDEF[SPEED])</f>
        <v>40</v>
      </c>
      <c r="N895" cm="1">
        <f t="array" ref="N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5">
        <f>IF(ISNUMBER(SEARCH("passenger",PROPERTIES[[#This Row],[CARGODEF]])),1,0)</f>
        <v>1</v>
      </c>
      <c r="P895" s="29">
        <v>52</v>
      </c>
      <c r="Q895">
        <f>805*2</f>
        <v>1610</v>
      </c>
      <c r="R895">
        <v>160</v>
      </c>
      <c r="S895" s="26">
        <v>85</v>
      </c>
      <c r="T895" s="25">
        <f>IFERROR(PROPERTIES[[#This Row],[TE_STARTING_KN]]/(PROPERTIES[[#This Row],[WEIGHT]]*9.81),0)</f>
        <v>0.16662746020544186</v>
      </c>
      <c r="U895" s="25">
        <v>0.21</v>
      </c>
      <c r="V895" s="22">
        <f>ROUND(IF(IFERROR(PROPERTIES[[#This Row],[TE_COEFFICIENT_CALC]],0)=0,PROPERTIES[[#This Row],[TE_COEFFICIENT_MANUAL]],PROPERTIES[[#This Row],[TE_COEFFICIENT_CALC]]),3)</f>
        <v>0.16700000000000001</v>
      </c>
      <c r="W895" s="10" cm="1">
        <f t="array" ref="W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5" s="32">
        <v>92</v>
      </c>
      <c r="Y895" s="8">
        <v>7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8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9" t="b">
        <v>0</v>
      </c>
    </row>
    <row r="896" spans="1:34">
      <c r="A896" t="s">
        <v>3279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t="s">
        <v>1867</v>
      </c>
      <c r="F896" t="str">
        <f>_xlfn.XLOOKUP(PROPERTIES[[#This Row],[COUNTRY]],COUNTRIES[COUNTRY_DESCRIPTION],COUNTRIES[COUNTRY_LABEL],"")</f>
        <v>NZ</v>
      </c>
      <c r="G896" t="str" cm="1">
        <f t="array" ref="G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6" t="s">
        <v>17</v>
      </c>
      <c r="I896">
        <v>80</v>
      </c>
      <c r="J896">
        <v>8</v>
      </c>
      <c r="K896">
        <v>8</v>
      </c>
      <c r="L896" t="str" cm="1">
        <f t="array" ref="L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6">
        <f>_xlfn.XLOOKUP("LOADINGSPEEDDEF_"&amp;PROPERTIES[[#This Row],[LOADINGSPEED]],LOADINGSPEEDDEF[TYPE],LOADINGSPEEDDEF[SPEED])</f>
        <v>40</v>
      </c>
      <c r="N896" cm="1">
        <f t="array" ref="N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6">
        <f>IF(ISNUMBER(SEARCH("passenger",PROPERTIES[[#This Row],[CARGODEF]])),1,0)</f>
        <v>1</v>
      </c>
      <c r="P896" s="29">
        <v>38</v>
      </c>
      <c r="Q896">
        <v>1500</v>
      </c>
      <c r="R896">
        <v>120</v>
      </c>
      <c r="S896" s="26">
        <v>0</v>
      </c>
      <c r="T896" s="26">
        <f>IFERROR(PROPERTIES[[#This Row],[TE_STARTING_KN]]/(PROPERTIES[[#This Row],[WEIGHT]]*9.81),0)</f>
        <v>0</v>
      </c>
      <c r="U896" s="26">
        <v>0.3</v>
      </c>
      <c r="V896" s="22">
        <f>ROUND(IF(IFERROR(PROPERTIES[[#This Row],[TE_COEFFICIENT_CALC]],0)=0,PROPERTIES[[#This Row],[TE_COEFFICIENT_MANUAL]],PROPERTIES[[#This Row],[TE_COEFFICIENT_CALC]]),3)</f>
        <v>0.3</v>
      </c>
      <c r="W896" s="33" cm="1">
        <f t="array" ref="W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6" s="32">
        <v>80</v>
      </c>
      <c r="Y896" s="8">
        <v>8</v>
      </c>
      <c r="Z896" s="8" t="s">
        <v>871</v>
      </c>
      <c r="AA896" s="9" t="s">
        <v>868</v>
      </c>
      <c r="AB896" s="9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8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9" t="b">
        <v>0</v>
      </c>
    </row>
    <row r="897" spans="1:34">
      <c r="A897" s="2" t="s">
        <v>3281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t="s">
        <v>1710</v>
      </c>
      <c r="F897" t="str">
        <f>_xlfn.XLOOKUP(PROPERTIES[[#This Row],[COUNTRY]],COUNTRIES[COUNTRY_DESCRIPTION],COUNTRIES[COUNTRY_LABEL],"")</f>
        <v>AU</v>
      </c>
      <c r="G897" t="str" cm="1">
        <f t="array" ref="G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7" t="s">
        <v>17</v>
      </c>
      <c r="I897">
        <v>72</v>
      </c>
      <c r="J897">
        <v>8</v>
      </c>
      <c r="K897">
        <v>8</v>
      </c>
      <c r="L897" t="str" cm="1">
        <f t="array" ref="L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7">
        <f>_xlfn.XLOOKUP("LOADINGSPEEDDEF_"&amp;PROPERTIES[[#This Row],[LOADINGSPEED]],LOADINGSPEEDDEF[TYPE],LOADINGSPEEDDEF[SPEED])</f>
        <v>40</v>
      </c>
      <c r="N897" cm="1">
        <f t="array" ref="N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7">
        <f>IF(ISNUMBER(SEARCH("passenger",PROPERTIES[[#This Row],[CARGODEF]])),1,0)</f>
        <v>1</v>
      </c>
      <c r="P897" s="29">
        <v>51</v>
      </c>
      <c r="Q897">
        <v>600</v>
      </c>
      <c r="R897">
        <v>115</v>
      </c>
      <c r="S897" s="26">
        <v>0</v>
      </c>
      <c r="T897" s="26">
        <f>IFERROR(PROPERTIES[[#This Row],[TE_STARTING_KN]]/(PROPERTIES[[#This Row],[WEIGHT]]*9.81),0)</f>
        <v>0</v>
      </c>
      <c r="U897" s="26">
        <v>0.25</v>
      </c>
      <c r="V897" s="22">
        <f>ROUND(IF(IFERROR(PROPERTIES[[#This Row],[TE_COEFFICIENT_CALC]],0)=0,PROPERTIES[[#This Row],[TE_COEFFICIENT_MANUAL]],PROPERTIES[[#This Row],[TE_COEFFICIENT_CALC]]),3)</f>
        <v>0.25</v>
      </c>
      <c r="W897" s="33" cm="1">
        <f t="array" ref="W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7" s="32">
        <v>72</v>
      </c>
      <c r="Y897" s="8">
        <v>8</v>
      </c>
      <c r="Z897" s="8" t="s">
        <v>871</v>
      </c>
      <c r="AA897" s="9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8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9" t="b">
        <v>0</v>
      </c>
    </row>
    <row r="898" spans="1:34">
      <c r="A898" s="2" t="s">
        <v>3285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t="s">
        <v>1914</v>
      </c>
      <c r="F898" t="str">
        <f>_xlfn.XLOOKUP(PROPERTIES[[#This Row],[COUNTRY]],COUNTRIES[COUNTRY_DESCRIPTION],COUNTRIES[COUNTRY_LABEL],"")</f>
        <v>TH</v>
      </c>
      <c r="G898" t="str" cm="1">
        <f t="array" ref="G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8" t="s">
        <v>17</v>
      </c>
      <c r="I898">
        <v>0</v>
      </c>
      <c r="J898">
        <v>8</v>
      </c>
      <c r="K898">
        <v>8</v>
      </c>
      <c r="L898" t="str" cm="1">
        <f t="array" ref="L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8">
        <f>_xlfn.XLOOKUP("LOADINGSPEEDDEF_"&amp;PROPERTIES[[#This Row],[LOADINGSPEED]],LOADINGSPEEDDEF[TYPE],LOADINGSPEEDDEF[SPEED])</f>
        <v>40</v>
      </c>
      <c r="N898" t="str" cm="1">
        <f t="array" ref="N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98">
        <f>IF(ISNUMBER(SEARCH("passenger",PROPERTIES[[#This Row],[CARGODEF]])),1,0)</f>
        <v>1</v>
      </c>
      <c r="P898" s="29">
        <v>76</v>
      </c>
      <c r="Q898">
        <v>4000</v>
      </c>
      <c r="R898">
        <v>160</v>
      </c>
      <c r="S898" s="26">
        <f>178/2</f>
        <v>89</v>
      </c>
      <c r="T898" s="26">
        <f>IFERROR(PROPERTIES[[#This Row],[TE_STARTING_KN]]/(PROPERTIES[[#This Row],[WEIGHT]]*9.81),0)</f>
        <v>0.11937335693974997</v>
      </c>
      <c r="U898" s="26">
        <v>0</v>
      </c>
      <c r="V898" s="22">
        <f>ROUND(IF(IFERROR(PROPERTIES[[#This Row],[TE_COEFFICIENT_CALC]],0)=0,PROPERTIES[[#This Row],[TE_COEFFICIENT_MANUAL]],PROPERTIES[[#This Row],[TE_COEFFICIENT_CALC]]),3)</f>
        <v>0.11899999999999999</v>
      </c>
      <c r="W898" s="33" cm="1">
        <f t="array" ref="W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8" s="32">
        <v>72</v>
      </c>
      <c r="Y898" s="8">
        <v>8</v>
      </c>
      <c r="Z898" s="8" t="s">
        <v>877</v>
      </c>
      <c r="AA898" s="9" t="s">
        <v>868</v>
      </c>
      <c r="AB898" s="9" t="s">
        <v>887</v>
      </c>
      <c r="AC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8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9" t="b">
        <v>0</v>
      </c>
    </row>
    <row r="899" spans="1:34">
      <c r="A899" s="2" t="s">
        <v>3289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t="s">
        <v>1710</v>
      </c>
      <c r="F899" t="str">
        <f>_xlfn.XLOOKUP(PROPERTIES[[#This Row],[COUNTRY]],COUNTRIES[COUNTRY_DESCRIPTION],COUNTRIES[COUNTRY_LABEL],"")</f>
        <v>AU</v>
      </c>
      <c r="G899" t="str" cm="1">
        <f t="array" ref="G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9" t="s">
        <v>17</v>
      </c>
      <c r="I899">
        <v>0</v>
      </c>
      <c r="J899">
        <v>8</v>
      </c>
      <c r="K899">
        <v>8</v>
      </c>
      <c r="L899" t="str" cm="1">
        <f t="array" ref="L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9">
        <f>_xlfn.XLOOKUP("LOADINGSPEEDDEF_"&amp;PROPERTIES[[#This Row],[LOADINGSPEED]],LOADINGSPEEDDEF[TYPE],LOADINGSPEEDDEF[SPEED])</f>
        <v>40</v>
      </c>
      <c r="N899" cm="1">
        <f t="array" ref="N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9">
        <f>IF(ISNUMBER(SEARCH("passenger",PROPERTIES[[#This Row],[CARGODEF]])),1,0)</f>
        <v>1</v>
      </c>
      <c r="P899" s="29">
        <v>76</v>
      </c>
      <c r="Q899">
        <v>4000</v>
      </c>
      <c r="R899">
        <v>160</v>
      </c>
      <c r="S899" s="26">
        <f>178/2</f>
        <v>89</v>
      </c>
      <c r="T899" s="26">
        <f>IFERROR(PROPERTIES[[#This Row],[TE_STARTING_KN]]/(PROPERTIES[[#This Row],[WEIGHT]]*9.81),0)</f>
        <v>0.11937335693974997</v>
      </c>
      <c r="U899" s="26">
        <v>0</v>
      </c>
      <c r="V899" s="22">
        <f>ROUND(IF(IFERROR(PROPERTIES[[#This Row],[TE_COEFFICIENT_CALC]],0)=0,PROPERTIES[[#This Row],[TE_COEFFICIENT_MANUAL]],PROPERTIES[[#This Row],[TE_COEFFICIENT_CALC]]),3)</f>
        <v>0.11899999999999999</v>
      </c>
      <c r="W899" s="33" cm="1">
        <f t="array" ref="W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9" s="32">
        <v>72</v>
      </c>
      <c r="Y899" s="8">
        <v>8</v>
      </c>
      <c r="Z899" s="8" t="s">
        <v>871</v>
      </c>
      <c r="AA899" s="9" t="s">
        <v>868</v>
      </c>
      <c r="AB899" s="2" t="s">
        <v>886</v>
      </c>
      <c r="AC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8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9" t="b">
        <v>0</v>
      </c>
    </row>
    <row r="900" spans="1:34">
      <c r="A900" s="2" t="s">
        <v>3291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t="s">
        <v>1710</v>
      </c>
      <c r="F900" t="str">
        <f>_xlfn.XLOOKUP(PROPERTIES[[#This Row],[COUNTRY]],COUNTRIES[COUNTRY_DESCRIPTION],COUNTRIES[COUNTRY_LABEL],"")</f>
        <v>AU</v>
      </c>
      <c r="G900" t="str" cm="1">
        <f t="array" ref="G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0" t="s">
        <v>17</v>
      </c>
      <c r="I900">
        <v>100</v>
      </c>
      <c r="J900">
        <v>8</v>
      </c>
      <c r="K900">
        <v>8</v>
      </c>
      <c r="L900" t="str" cm="1">
        <f t="array" ref="L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0">
        <f>_xlfn.XLOOKUP("LOADINGSPEEDDEF_"&amp;PROPERTIES[[#This Row],[LOADINGSPEED]],LOADINGSPEEDDEF[TYPE],LOADINGSPEEDDEF[SPEED])</f>
        <v>40</v>
      </c>
      <c r="N900" t="str" cm="1">
        <f t="array" ref="N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0">
        <f>IF(ISNUMBER(SEARCH("passenger",PROPERTIES[[#This Row],[CARGODEF]])),1,0)</f>
        <v>1</v>
      </c>
      <c r="P900" s="29">
        <v>54</v>
      </c>
      <c r="Q900">
        <v>1600</v>
      </c>
      <c r="R900">
        <v>130</v>
      </c>
      <c r="S900" s="26">
        <v>200</v>
      </c>
      <c r="T900" s="26">
        <f>IFERROR(PROPERTIES[[#This Row],[TE_STARTING_KN]]/(PROPERTIES[[#This Row],[WEIGHT]]*9.81),0)</f>
        <v>0.37754370068335408</v>
      </c>
      <c r="U900" s="26">
        <v>0</v>
      </c>
      <c r="V900" s="22">
        <f>ROUND(IF(IFERROR(PROPERTIES[[#This Row],[TE_COEFFICIENT_CALC]],0)=0,PROPERTIES[[#This Row],[TE_COEFFICIENT_MANUAL]],PROPERTIES[[#This Row],[TE_COEFFICIENT_CALC]]),3)</f>
        <v>0.378</v>
      </c>
      <c r="W900" s="33" cm="1">
        <f t="array" ref="W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0" s="32">
        <v>100</v>
      </c>
      <c r="Y900" s="8">
        <v>8</v>
      </c>
      <c r="Z900" s="8" t="s">
        <v>871</v>
      </c>
      <c r="AA900" s="9" t="s">
        <v>868</v>
      </c>
      <c r="AB900" s="9" t="s">
        <v>887</v>
      </c>
      <c r="AC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8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9" t="b">
        <v>0</v>
      </c>
    </row>
    <row r="901" spans="1:34">
      <c r="A901" s="2" t="s">
        <v>3292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t="s">
        <v>1710</v>
      </c>
      <c r="F901" t="str">
        <f>_xlfn.XLOOKUP(PROPERTIES[[#This Row],[COUNTRY]],COUNTRIES[COUNTRY_DESCRIPTION],COUNTRIES[COUNTRY_LABEL],"")</f>
        <v>AU</v>
      </c>
      <c r="G901" t="str" cm="1">
        <f t="array" ref="G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1" t="s">
        <v>17</v>
      </c>
      <c r="I901">
        <v>43</v>
      </c>
      <c r="J901">
        <v>8</v>
      </c>
      <c r="K901">
        <v>8</v>
      </c>
      <c r="L901" t="str" cm="1">
        <f t="array" ref="L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1">
        <f>_xlfn.XLOOKUP("LOADINGSPEEDDEF_"&amp;PROPERTIES[[#This Row],[LOADINGSPEED]],LOADINGSPEEDDEF[TYPE],LOADINGSPEEDDEF[SPEED])</f>
        <v>40</v>
      </c>
      <c r="N901" cm="1">
        <f t="array" ref="N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1">
        <f>IF(ISNUMBER(SEARCH("passenger",PROPERTIES[[#This Row],[CARGODEF]])),1,0)</f>
        <v>1</v>
      </c>
      <c r="P901" s="29">
        <v>32</v>
      </c>
      <c r="Q901">
        <v>480</v>
      </c>
      <c r="R901">
        <v>115</v>
      </c>
      <c r="S901" s="26">
        <v>26</v>
      </c>
      <c r="T901" s="26">
        <f>IFERROR(PROPERTIES[[#This Row],[TE_STARTING_KN]]/(PROPERTIES[[#This Row],[WEIGHT]]*9.81),0)</f>
        <v>8.2823649337410807E-2</v>
      </c>
      <c r="U901" s="26">
        <v>0</v>
      </c>
      <c r="V901" s="22">
        <f>ROUND(IF(IFERROR(PROPERTIES[[#This Row],[TE_COEFFICIENT_CALC]],0)=0,PROPERTIES[[#This Row],[TE_COEFFICIENT_MANUAL]],PROPERTIES[[#This Row],[TE_COEFFICIENT_CALC]]),3)</f>
        <v>8.3000000000000004E-2</v>
      </c>
      <c r="W901" s="33" cm="1">
        <f t="array" ref="W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01" s="32">
        <v>38</v>
      </c>
      <c r="Y901" s="8">
        <v>8</v>
      </c>
      <c r="Z901" s="8" t="s">
        <v>871</v>
      </c>
      <c r="AA901" s="9" t="s">
        <v>868</v>
      </c>
      <c r="AB901" s="9" t="s">
        <v>887</v>
      </c>
      <c r="AC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8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9" t="b">
        <v>0</v>
      </c>
    </row>
    <row r="902" spans="1:34">
      <c r="A902" s="2" t="s">
        <v>3303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t="s">
        <v>1710</v>
      </c>
      <c r="F902" t="str">
        <f>_xlfn.XLOOKUP(PROPERTIES[[#This Row],[COUNTRY]],COUNTRIES[COUNTRY_DESCRIPTION],COUNTRIES[COUNTRY_LABEL],"")</f>
        <v>AU</v>
      </c>
      <c r="G902" t="str" cm="1">
        <f t="array" ref="G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2" t="s">
        <v>17</v>
      </c>
      <c r="I902">
        <f>INT((346+628)/4)</f>
        <v>243</v>
      </c>
      <c r="J902">
        <v>8</v>
      </c>
      <c r="K902">
        <v>8</v>
      </c>
      <c r="L902" t="str" cm="1">
        <f t="array" ref="L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2">
        <f>_xlfn.XLOOKUP("LOADINGSPEEDDEF_"&amp;PROPERTIES[[#This Row],[LOADINGSPEED]],LOADINGSPEEDDEF[TYPE],LOADINGSPEEDDEF[SPEED])</f>
        <v>40</v>
      </c>
      <c r="N902" t="str" cm="1">
        <f t="array" ref="N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2">
        <f>IF(ISNUMBER(SEARCH("passenger",PROPERTIES[[#This Row],[CARGODEF]])),1,0)</f>
        <v>1</v>
      </c>
      <c r="P902" s="29">
        <f>186/4</f>
        <v>46.5</v>
      </c>
      <c r="Q902">
        <v>1824</v>
      </c>
      <c r="R902">
        <v>130</v>
      </c>
      <c r="S902" s="26">
        <v>0</v>
      </c>
      <c r="T902" s="26">
        <f>IFERROR(PROPERTIES[[#This Row],[TE_STARTING_KN]]/(PROPERTIES[[#This Row],[WEIGHT]]*9.81),0)</f>
        <v>0</v>
      </c>
      <c r="U902" s="26">
        <v>0.25</v>
      </c>
      <c r="V902" s="22">
        <f>ROUND(IF(IFERROR(PROPERTIES[[#This Row],[TE_COEFFICIENT_CALC]],0)=0,PROPERTIES[[#This Row],[TE_COEFFICIENT_MANUAL]],PROPERTIES[[#This Row],[TE_COEFFICIENT_CALC]]),3)</f>
        <v>0.25</v>
      </c>
      <c r="W902" s="33" cm="1">
        <f t="array" ref="W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2" s="32">
        <v>243</v>
      </c>
      <c r="Y902" s="8">
        <v>8</v>
      </c>
      <c r="Z902" s="8" t="s">
        <v>871</v>
      </c>
      <c r="AA902" s="9" t="s">
        <v>868</v>
      </c>
      <c r="AB902" s="2" t="s">
        <v>886</v>
      </c>
      <c r="AC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8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9" t="b">
        <v>0</v>
      </c>
    </row>
    <row r="903" spans="1:34">
      <c r="A903" s="2" t="s">
        <v>3302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t="s">
        <v>1710</v>
      </c>
      <c r="F903" t="str">
        <f>_xlfn.XLOOKUP(PROPERTIES[[#This Row],[COUNTRY]],COUNTRIES[COUNTRY_DESCRIPTION],COUNTRIES[COUNTRY_LABEL],"")</f>
        <v>AU</v>
      </c>
      <c r="G903" t="str" cm="1">
        <f t="array" ref="G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3" t="s">
        <v>17</v>
      </c>
      <c r="I903">
        <v>98</v>
      </c>
      <c r="J903">
        <v>8</v>
      </c>
      <c r="K903">
        <v>8</v>
      </c>
      <c r="L903" t="str" cm="1">
        <f t="array" ref="L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3">
        <f>_xlfn.XLOOKUP("LOADINGSPEEDDEF_"&amp;PROPERTIES[[#This Row],[LOADINGSPEED]],LOADINGSPEEDDEF[TYPE],LOADINGSPEEDDEF[SPEED])</f>
        <v>40</v>
      </c>
      <c r="N903" t="str" cm="1">
        <f t="array" ref="N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3">
        <f>IF(ISNUMBER(SEARCH("passenger",PROPERTIES[[#This Row],[CARGODEF]])),1,0)</f>
        <v>1</v>
      </c>
      <c r="P903" s="29">
        <v>50</v>
      </c>
      <c r="Q903">
        <v>1824</v>
      </c>
      <c r="R903">
        <v>115</v>
      </c>
      <c r="S903" s="26">
        <v>0</v>
      </c>
      <c r="T903" s="26">
        <f>IFERROR(PROPERTIES[[#This Row],[TE_STARTING_KN]]/(PROPERTIES[[#This Row],[WEIGHT]]*9.81),0)</f>
        <v>0</v>
      </c>
      <c r="U903" s="26">
        <v>0.25</v>
      </c>
      <c r="V903" s="22">
        <f>ROUND(IF(IFERROR(PROPERTIES[[#This Row],[TE_COEFFICIENT_CALC]],0)=0,PROPERTIES[[#This Row],[TE_COEFFICIENT_MANUAL]],PROPERTIES[[#This Row],[TE_COEFFICIENT_CALC]]),3)</f>
        <v>0.25</v>
      </c>
      <c r="W903" s="33" cm="1">
        <f t="array" ref="W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3" s="32">
        <v>112</v>
      </c>
      <c r="Y903" s="8">
        <v>8</v>
      </c>
      <c r="Z903" s="8" t="s">
        <v>871</v>
      </c>
      <c r="AA903" s="9" t="s">
        <v>868</v>
      </c>
      <c r="AB903" s="2" t="s">
        <v>886</v>
      </c>
      <c r="AC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8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9" t="b">
        <v>0</v>
      </c>
    </row>
    <row r="904" spans="1:34">
      <c r="A904" s="2" t="s">
        <v>3298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t="s">
        <v>1710</v>
      </c>
      <c r="F904" t="str">
        <f>_xlfn.XLOOKUP(PROPERTIES[[#This Row],[COUNTRY]],COUNTRIES[COUNTRY_DESCRIPTION],COUNTRIES[COUNTRY_LABEL],"")</f>
        <v>AU</v>
      </c>
      <c r="G904" t="str" cm="1">
        <f t="array" ref="G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4" t="s">
        <v>17</v>
      </c>
      <c r="I904">
        <v>32</v>
      </c>
      <c r="J904">
        <v>8</v>
      </c>
      <c r="K904">
        <v>8</v>
      </c>
      <c r="L904" t="str" cm="1">
        <f t="array" ref="L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4">
        <f>_xlfn.XLOOKUP("LOADINGSPEEDDEF_"&amp;PROPERTIES[[#This Row],[LOADINGSPEED]],LOADINGSPEEDDEF[TYPE],LOADINGSPEEDDEF[SPEED])</f>
        <v>40</v>
      </c>
      <c r="N904" cm="1">
        <f t="array" ref="N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4">
        <f>IF(ISNUMBER(SEARCH("passenger",PROPERTIES[[#This Row],[CARGODEF]])),1,0)</f>
        <v>1</v>
      </c>
      <c r="P904" s="29">
        <v>46</v>
      </c>
      <c r="Q904">
        <v>330</v>
      </c>
      <c r="R904">
        <v>100</v>
      </c>
      <c r="S904" s="26">
        <v>0</v>
      </c>
      <c r="T904" s="26">
        <f>IFERROR(PROPERTIES[[#This Row],[TE_STARTING_KN]]/(PROPERTIES[[#This Row],[WEIGHT]]*9.81),0)</f>
        <v>0</v>
      </c>
      <c r="U904" s="26">
        <v>0.2</v>
      </c>
      <c r="V904" s="22">
        <f>ROUND(IF(IFERROR(PROPERTIES[[#This Row],[TE_COEFFICIENT_CALC]],0)=0,PROPERTIES[[#This Row],[TE_COEFFICIENT_MANUAL]],PROPERTIES[[#This Row],[TE_COEFFICIENT_CALC]]),3)</f>
        <v>0.2</v>
      </c>
      <c r="W904" s="33" cm="1">
        <f t="array" ref="W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4" s="32">
        <v>24</v>
      </c>
      <c r="Y904" s="8">
        <v>8</v>
      </c>
      <c r="Z904" s="8" t="s">
        <v>871</v>
      </c>
      <c r="AA904" s="9" t="s">
        <v>868</v>
      </c>
      <c r="AB904" s="2" t="s">
        <v>886</v>
      </c>
      <c r="AC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8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9" t="b">
        <v>0</v>
      </c>
    </row>
    <row r="905" spans="1:34">
      <c r="A905" s="2" t="s">
        <v>3304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t="s">
        <v>1867</v>
      </c>
      <c r="F905" t="str">
        <f>_xlfn.XLOOKUP(PROPERTIES[[#This Row],[COUNTRY]],COUNTRIES[COUNTRY_DESCRIPTION],COUNTRIES[COUNTRY_LABEL],"")</f>
        <v>NZ</v>
      </c>
      <c r="G905" t="str" cm="1">
        <f t="array" ref="G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5" t="s">
        <v>17</v>
      </c>
      <c r="I905">
        <f>96/3</f>
        <v>32</v>
      </c>
      <c r="J905">
        <v>8</v>
      </c>
      <c r="K905">
        <v>8</v>
      </c>
      <c r="L905" t="str" cm="1">
        <f t="array" ref="L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5">
        <f>_xlfn.XLOOKUP("LOADINGSPEEDDEF_"&amp;PROPERTIES[[#This Row],[LOADINGSPEED]],LOADINGSPEEDDEF[TYPE],LOADINGSPEEDDEF[SPEED])</f>
        <v>40</v>
      </c>
      <c r="N905" cm="1">
        <f t="array" ref="N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5">
        <f>IF(ISNUMBER(SEARCH("passenger",PROPERTIES[[#This Row],[CARGODEF]])),1,0)</f>
        <v>1</v>
      </c>
      <c r="P905" s="29">
        <f>INT(107/3)</f>
        <v>35</v>
      </c>
      <c r="Q905">
        <v>900</v>
      </c>
      <c r="R905">
        <v>120</v>
      </c>
      <c r="S905" s="26">
        <v>0</v>
      </c>
      <c r="T905" s="26">
        <f>IFERROR(PROPERTIES[[#This Row],[TE_STARTING_KN]]/(PROPERTIES[[#This Row],[WEIGHT]]*9.81),0)</f>
        <v>0</v>
      </c>
      <c r="U905" s="26">
        <v>0.2</v>
      </c>
      <c r="V905" s="22">
        <f>ROUND(IF(IFERROR(PROPERTIES[[#This Row],[TE_COEFFICIENT_CALC]],0)=0,PROPERTIES[[#This Row],[TE_COEFFICIENT_MANUAL]],PROPERTIES[[#This Row],[TE_COEFFICIENT_CALC]]),3)</f>
        <v>0.2</v>
      </c>
      <c r="W905" s="33" cm="1">
        <f t="array" ref="W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05" s="32">
        <v>32</v>
      </c>
      <c r="Y905" s="8">
        <v>8</v>
      </c>
      <c r="Z905" s="8" t="s">
        <v>871</v>
      </c>
      <c r="AA905" s="9" t="s">
        <v>868</v>
      </c>
      <c r="AB905" s="2" t="s">
        <v>886</v>
      </c>
      <c r="AC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8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9" t="b">
        <v>0</v>
      </c>
    </row>
    <row r="906" spans="1:34">
      <c r="A906" s="2" t="s">
        <v>3307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t="s">
        <v>1710</v>
      </c>
      <c r="F906" t="str">
        <f>_xlfn.XLOOKUP(PROPERTIES[[#This Row],[COUNTRY]],COUNTRIES[COUNTRY_DESCRIPTION],COUNTRIES[COUNTRY_LABEL],"")</f>
        <v>AU</v>
      </c>
      <c r="G906" t="str" cm="1">
        <f t="array" ref="G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6" t="s">
        <v>17</v>
      </c>
      <c r="I906">
        <v>59</v>
      </c>
      <c r="J906">
        <v>8</v>
      </c>
      <c r="K906">
        <v>8</v>
      </c>
      <c r="L906" t="str" cm="1">
        <f t="array" ref="L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6">
        <f>_xlfn.XLOOKUP("LOADINGSPEEDDEF_"&amp;PROPERTIES[[#This Row],[LOADINGSPEED]],LOADINGSPEEDDEF[TYPE],LOADINGSPEEDDEF[SPEED])</f>
        <v>40</v>
      </c>
      <c r="N906" cm="1">
        <f t="array" ref="N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6">
        <f>IF(ISNUMBER(SEARCH("passenger",PROPERTIES[[#This Row],[CARGODEF]])),1,0)</f>
        <v>1</v>
      </c>
      <c r="P906" s="29">
        <v>51.5</v>
      </c>
      <c r="Q906">
        <v>760</v>
      </c>
      <c r="R906">
        <v>120</v>
      </c>
      <c r="S906" s="26">
        <v>0</v>
      </c>
      <c r="T906" s="26">
        <f>IFERROR(PROPERTIES[[#This Row],[TE_STARTING_KN]]/(PROPERTIES[[#This Row],[WEIGHT]]*9.81),0)</f>
        <v>0</v>
      </c>
      <c r="U906" s="26">
        <v>0.2</v>
      </c>
      <c r="V906" s="22">
        <f>ROUND(IF(IFERROR(PROPERTIES[[#This Row],[TE_COEFFICIENT_CALC]],0)=0,PROPERTIES[[#This Row],[TE_COEFFICIENT_MANUAL]],PROPERTIES[[#This Row],[TE_COEFFICIENT_CALC]]),3)</f>
        <v>0.2</v>
      </c>
      <c r="W906" s="33" cm="1">
        <f t="array" ref="W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6" s="32">
        <v>70</v>
      </c>
      <c r="Y906" s="8">
        <v>8</v>
      </c>
      <c r="Z906" s="8" t="s">
        <v>871</v>
      </c>
      <c r="AA906" s="9" t="s">
        <v>868</v>
      </c>
      <c r="AB906" s="2" t="s">
        <v>886</v>
      </c>
      <c r="AC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8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9" t="b">
        <v>0</v>
      </c>
    </row>
    <row r="907" spans="1:34">
      <c r="A907" s="2" t="s">
        <v>3316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t="s">
        <v>1710</v>
      </c>
      <c r="F907" t="str">
        <f>_xlfn.XLOOKUP(PROPERTIES[[#This Row],[COUNTRY]],COUNTRIES[COUNTRY_DESCRIPTION],COUNTRIES[COUNTRY_LABEL],"")</f>
        <v>AU</v>
      </c>
      <c r="G907" t="str" cm="1">
        <f t="array" ref="G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7" t="s">
        <v>17</v>
      </c>
      <c r="I907">
        <v>90</v>
      </c>
      <c r="J907">
        <v>8</v>
      </c>
      <c r="K907">
        <v>8</v>
      </c>
      <c r="L907" t="str" cm="1">
        <f t="array" ref="L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7">
        <f>_xlfn.XLOOKUP("LOADINGSPEEDDEF_"&amp;PROPERTIES[[#This Row],[LOADINGSPEED]],LOADINGSPEEDDEF[TYPE],LOADINGSPEEDDEF[SPEED])</f>
        <v>40</v>
      </c>
      <c r="N907" cm="1">
        <f t="array" ref="N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7">
        <f>IF(ISNUMBER(SEARCH("passenger",PROPERTIES[[#This Row],[CARGODEF]])),1,0)</f>
        <v>1</v>
      </c>
      <c r="P907" s="29">
        <v>43</v>
      </c>
      <c r="Q907">
        <v>360</v>
      </c>
      <c r="R907">
        <v>80</v>
      </c>
      <c r="S907" s="26">
        <v>0</v>
      </c>
      <c r="T907" s="26">
        <f>IFERROR(PROPERTIES[[#This Row],[TE_STARTING_KN]]/(PROPERTIES[[#This Row],[WEIGHT]]*9.81),0)</f>
        <v>0</v>
      </c>
      <c r="U907" s="26">
        <v>0.2</v>
      </c>
      <c r="V907" s="22">
        <f>ROUND(IF(IFERROR(PROPERTIES[[#This Row],[TE_COEFFICIENT_CALC]],0)=0,PROPERTIES[[#This Row],[TE_COEFFICIENT_MANUAL]],PROPERTIES[[#This Row],[TE_COEFFICIENT_CALC]]),3)</f>
        <v>0.2</v>
      </c>
      <c r="W907" s="33" cm="1">
        <f t="array" ref="W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7" s="32">
        <v>90</v>
      </c>
      <c r="Y907" s="8">
        <v>8</v>
      </c>
      <c r="Z907" s="8" t="s">
        <v>871</v>
      </c>
      <c r="AA907" s="9" t="s">
        <v>868</v>
      </c>
      <c r="AB907" s="2" t="s">
        <v>886</v>
      </c>
      <c r="AC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8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9" t="b">
        <v>0</v>
      </c>
    </row>
    <row r="908" spans="1:34">
      <c r="A908" s="2" t="s">
        <v>3319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t="s">
        <v>1710</v>
      </c>
      <c r="F908" t="str">
        <f>_xlfn.XLOOKUP(PROPERTIES[[#This Row],[COUNTRY]],COUNTRIES[COUNTRY_DESCRIPTION],COUNTRIES[COUNTRY_LABEL],"")</f>
        <v>AU</v>
      </c>
      <c r="G908" t="str" cm="1">
        <f t="array" ref="G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8" t="s">
        <v>17</v>
      </c>
      <c r="I908">
        <v>90</v>
      </c>
      <c r="J908">
        <v>8</v>
      </c>
      <c r="K908">
        <v>8</v>
      </c>
      <c r="L908" t="str" cm="1">
        <f t="array" ref="L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8">
        <f>_xlfn.XLOOKUP("LOADINGSPEEDDEF_"&amp;PROPERTIES[[#This Row],[LOADINGSPEED]],LOADINGSPEEDDEF[TYPE],LOADINGSPEEDDEF[SPEED])</f>
        <v>40</v>
      </c>
      <c r="N908" cm="1">
        <f t="array" ref="N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8">
        <f>IF(ISNUMBER(SEARCH("passenger",PROPERTIES[[#This Row],[CARGODEF]])),1,0)</f>
        <v>1</v>
      </c>
      <c r="P908" s="29">
        <v>43</v>
      </c>
      <c r="Q908">
        <v>360</v>
      </c>
      <c r="R908">
        <v>110</v>
      </c>
      <c r="S908" s="26">
        <v>0</v>
      </c>
      <c r="T908" s="26">
        <f>IFERROR(PROPERTIES[[#This Row],[TE_STARTING_KN]]/(PROPERTIES[[#This Row],[WEIGHT]]*9.81),0)</f>
        <v>0</v>
      </c>
      <c r="U908" s="26">
        <v>0.22</v>
      </c>
      <c r="V908" s="22">
        <f>ROUND(IF(IFERROR(PROPERTIES[[#This Row],[TE_COEFFICIENT_CALC]],0)=0,PROPERTIES[[#This Row],[TE_COEFFICIENT_MANUAL]],PROPERTIES[[#This Row],[TE_COEFFICIENT_CALC]]),3)</f>
        <v>0.22</v>
      </c>
      <c r="W908" s="33" cm="1">
        <f t="array" ref="W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8" s="32">
        <v>90</v>
      </c>
      <c r="Y908" s="8">
        <v>8</v>
      </c>
      <c r="Z908" s="8" t="s">
        <v>871</v>
      </c>
      <c r="AA908" s="9" t="s">
        <v>868</v>
      </c>
      <c r="AB908" s="2" t="s">
        <v>886</v>
      </c>
      <c r="AC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8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9" t="b">
        <v>0</v>
      </c>
    </row>
    <row r="909" spans="1:34">
      <c r="A909" s="2" t="s">
        <v>3322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t="s">
        <v>1710</v>
      </c>
      <c r="F909" t="str">
        <f>_xlfn.XLOOKUP(PROPERTIES[[#This Row],[COUNTRY]],COUNTRIES[COUNTRY_DESCRIPTION],COUNTRIES[COUNTRY_LABEL],"")</f>
        <v>AU</v>
      </c>
      <c r="G909" t="str" cm="1">
        <f t="array" ref="G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9" t="s">
        <v>17</v>
      </c>
      <c r="I909">
        <f>216/3</f>
        <v>72</v>
      </c>
      <c r="J909">
        <v>8</v>
      </c>
      <c r="K909">
        <v>8</v>
      </c>
      <c r="L909" t="str" cm="1">
        <f t="array" ref="L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9">
        <f>_xlfn.XLOOKUP("LOADINGSPEEDDEF_"&amp;PROPERTIES[[#This Row],[LOADINGSPEED]],LOADINGSPEEDDEF[TYPE],LOADINGSPEEDDEF[SPEED])</f>
        <v>40</v>
      </c>
      <c r="N909" t="str" cm="1">
        <f t="array" ref="N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9">
        <f>IF(ISNUMBER(SEARCH("passenger",PROPERTIES[[#This Row],[CARGODEF]])),1,0)</f>
        <v>1</v>
      </c>
      <c r="P909" s="29">
        <v>43</v>
      </c>
      <c r="Q909">
        <v>1930</v>
      </c>
      <c r="R909">
        <v>130</v>
      </c>
      <c r="S909" s="26">
        <v>95</v>
      </c>
      <c r="T909" s="25">
        <f>IFERROR(PROPERTIES[[#This Row],[TE_STARTING_KN]]/(PROPERTIES[[#This Row],[WEIGHT]]*9.81),0)</f>
        <v>0.2252092075006519</v>
      </c>
      <c r="U909" s="25">
        <v>0.28999999999999998</v>
      </c>
      <c r="V909" s="22">
        <f>ROUND(IF(IFERROR(PROPERTIES[[#This Row],[TE_COEFFICIENT_CALC]],0)=0,PROPERTIES[[#This Row],[TE_COEFFICIENT_MANUAL]],PROPERTIES[[#This Row],[TE_COEFFICIENT_CALC]]),3)</f>
        <v>0.22500000000000001</v>
      </c>
      <c r="W909" s="33" cm="1">
        <f t="array" ref="W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9" s="32">
        <v>72</v>
      </c>
      <c r="Y909" s="8">
        <v>8</v>
      </c>
      <c r="Z909" s="8" t="s">
        <v>871</v>
      </c>
      <c r="AA909" s="9" t="s">
        <v>868</v>
      </c>
      <c r="AB909" s="2" t="s">
        <v>886</v>
      </c>
      <c r="AC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8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9" t="b">
        <v>0</v>
      </c>
    </row>
    <row r="910" spans="1:34">
      <c r="A910" s="2" t="s">
        <v>3325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0" t="str">
        <f>_xlfn.XLOOKUP(PROPERTIES[[#This Row],[COUNTRY]],COUNTRIES[COUNTRY_DESCRIPTION],COUNTRIES[COUNTRY_LABEL],"")</f>
        <v/>
      </c>
      <c r="G910" t="str" cm="1">
        <f t="array" ref="G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0" t="s">
        <v>320</v>
      </c>
      <c r="I910">
        <v>42</v>
      </c>
      <c r="J910">
        <v>6</v>
      </c>
      <c r="K910">
        <v>6</v>
      </c>
      <c r="L910" t="str" cm="1">
        <f t="array" ref="L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0">
        <f>_xlfn.XLOOKUP("LOADINGSPEEDDEF_"&amp;PROPERTIES[[#This Row],[LOADINGSPEED]],LOADINGSPEEDDEF[TYPE],LOADINGSPEEDDEF[SPEED])</f>
        <v>40</v>
      </c>
      <c r="N910" cm="1">
        <f t="array" ref="N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0">
        <f>IF(ISNUMBER(SEARCH("passenger",PROPERTIES[[#This Row],[CARGODEF]])),1,0)</f>
        <v>1</v>
      </c>
      <c r="P910" s="29">
        <v>26</v>
      </c>
      <c r="Q910">
        <v>0</v>
      </c>
      <c r="R910">
        <v>80</v>
      </c>
      <c r="S910" s="26">
        <v>0</v>
      </c>
      <c r="T910" s="25">
        <f>IFERROR(PROPERTIES[[#This Row],[TE_STARTING_KN]]/(PROPERTIES[[#This Row],[WEIGHT]]*9.81),0)</f>
        <v>0</v>
      </c>
      <c r="U910" s="25">
        <v>0.3</v>
      </c>
      <c r="V910" s="22">
        <f>ROUND(IF(IFERROR(PROPERTIES[[#This Row],[TE_COEFFICIENT_CALC]],0)=0,PROPERTIES[[#This Row],[TE_COEFFICIENT_MANUAL]],PROPERTIES[[#This Row],[TE_COEFFICIENT_CALC]]),3)</f>
        <v>0.3</v>
      </c>
      <c r="W910" s="10" cm="1">
        <f t="array" ref="W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0" s="32">
        <v>0</v>
      </c>
      <c r="Y910" s="8">
        <v>0</v>
      </c>
      <c r="Z910" s="8" t="s">
        <v>871</v>
      </c>
      <c r="AA910" s="9" t="s">
        <v>881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8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9" t="b">
        <v>0</v>
      </c>
    </row>
    <row r="911" spans="1:34">
      <c r="A911" s="2" t="s">
        <v>3328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1" t="str">
        <f>_xlfn.XLOOKUP(PROPERTIES[[#This Row],[COUNTRY]],COUNTRIES[COUNTRY_DESCRIPTION],COUNTRIES[COUNTRY_LABEL],"")</f>
        <v/>
      </c>
      <c r="G911" t="str" cm="1">
        <f t="array" ref="G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1" t="s">
        <v>665</v>
      </c>
      <c r="I911">
        <v>42</v>
      </c>
      <c r="J911">
        <v>6</v>
      </c>
      <c r="K911">
        <v>6</v>
      </c>
      <c r="L911" t="str" cm="1">
        <f t="array" ref="L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1">
        <f>_xlfn.XLOOKUP("LOADINGSPEEDDEF_"&amp;PROPERTIES[[#This Row],[LOADINGSPEED]],LOADINGSPEEDDEF[TYPE],LOADINGSPEEDDEF[SPEED])</f>
        <v>15</v>
      </c>
      <c r="N911" cm="1">
        <f t="array" ref="N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1">
        <f>IF(ISNUMBER(SEARCH("passenger",PROPERTIES[[#This Row],[CARGODEF]])),1,0)</f>
        <v>0</v>
      </c>
      <c r="P911" s="29">
        <v>26</v>
      </c>
      <c r="Q911">
        <v>0</v>
      </c>
      <c r="R911">
        <v>80</v>
      </c>
      <c r="S911" s="26">
        <v>0</v>
      </c>
      <c r="T911" s="25">
        <f>IFERROR(PROPERTIES[[#This Row],[TE_STARTING_KN]]/(PROPERTIES[[#This Row],[WEIGHT]]*9.81),0)</f>
        <v>0</v>
      </c>
      <c r="U911" s="25">
        <v>0.3</v>
      </c>
      <c r="V911" s="22">
        <f>ROUND(IF(IFERROR(PROPERTIES[[#This Row],[TE_COEFFICIENT_CALC]],0)=0,PROPERTIES[[#This Row],[TE_COEFFICIENT_MANUAL]],PROPERTIES[[#This Row],[TE_COEFFICIENT_CALC]]),3)</f>
        <v>0.3</v>
      </c>
      <c r="W911" s="10" cm="1">
        <f t="array" ref="W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1" s="32">
        <v>0</v>
      </c>
      <c r="Y911" s="8">
        <v>0</v>
      </c>
      <c r="Z911" s="8" t="s">
        <v>871</v>
      </c>
      <c r="AA911" s="9" t="s">
        <v>881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8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9" t="b">
        <v>0</v>
      </c>
    </row>
    <row r="912" spans="1:34">
      <c r="A912" s="2" t="s">
        <v>3330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2" t="str">
        <f>_xlfn.XLOOKUP(PROPERTIES[[#This Row],[COUNTRY]],COUNTRIES[COUNTRY_DESCRIPTION],COUNTRIES[COUNTRY_LABEL],"")</f>
        <v/>
      </c>
      <c r="G912" t="str" cm="1">
        <f t="array" ref="G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2" t="s">
        <v>320</v>
      </c>
      <c r="I912">
        <v>25</v>
      </c>
      <c r="J912">
        <v>4</v>
      </c>
      <c r="K912">
        <v>4</v>
      </c>
      <c r="L912" t="str" cm="1">
        <f t="array" ref="L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2">
        <f>_xlfn.XLOOKUP("LOADINGSPEEDDEF_"&amp;PROPERTIES[[#This Row],[LOADINGSPEED]],LOADINGSPEEDDEF[TYPE],LOADINGSPEEDDEF[SPEED])</f>
        <v>40</v>
      </c>
      <c r="N912" cm="1">
        <f t="array" ref="N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2">
        <f>IF(ISNUMBER(SEARCH("passenger",PROPERTIES[[#This Row],[CARGODEF]])),1,0)</f>
        <v>1</v>
      </c>
      <c r="P912" s="29">
        <v>10</v>
      </c>
      <c r="Q912">
        <v>0</v>
      </c>
      <c r="R912">
        <v>60</v>
      </c>
      <c r="S912" s="26">
        <v>0</v>
      </c>
      <c r="T912" s="25">
        <f>IFERROR(PROPERTIES[[#This Row],[TE_STARTING_KN]]/(PROPERTIES[[#This Row],[WEIGHT]]*9.81),0)</f>
        <v>0</v>
      </c>
      <c r="U912" s="25">
        <v>0.3</v>
      </c>
      <c r="V912" s="22">
        <f>ROUND(IF(IFERROR(PROPERTIES[[#This Row],[TE_COEFFICIENT_CALC]],0)=0,PROPERTIES[[#This Row],[TE_COEFFICIENT_MANUAL]],PROPERTIES[[#This Row],[TE_COEFFICIENT_CALC]]),3)</f>
        <v>0.3</v>
      </c>
      <c r="W912" s="10" cm="1">
        <f t="array" ref="W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2" s="32">
        <v>0</v>
      </c>
      <c r="Y912" s="8">
        <v>0</v>
      </c>
      <c r="Z912" s="8" t="s">
        <v>871</v>
      </c>
      <c r="AA912" s="9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8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9" t="b">
        <v>0</v>
      </c>
    </row>
    <row r="913" spans="1:34">
      <c r="A913" s="2" t="s">
        <v>3331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3" t="str">
        <f>_xlfn.XLOOKUP(PROPERTIES[[#This Row],[COUNTRY]],COUNTRIES[COUNTRY_DESCRIPTION],COUNTRIES[COUNTRY_LABEL],"")</f>
        <v/>
      </c>
      <c r="G913" t="str" cm="1">
        <f t="array" ref="G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3" t="s">
        <v>665</v>
      </c>
      <c r="I913">
        <v>25</v>
      </c>
      <c r="J913">
        <v>4</v>
      </c>
      <c r="K913">
        <v>4</v>
      </c>
      <c r="L913" t="str" cm="1">
        <f t="array" ref="L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3">
        <f>_xlfn.XLOOKUP("LOADINGSPEEDDEF_"&amp;PROPERTIES[[#This Row],[LOADINGSPEED]],LOADINGSPEEDDEF[TYPE],LOADINGSPEEDDEF[SPEED])</f>
        <v>15</v>
      </c>
      <c r="N913" cm="1">
        <f t="array" ref="N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3">
        <f>IF(ISNUMBER(SEARCH("passenger",PROPERTIES[[#This Row],[CARGODEF]])),1,0)</f>
        <v>0</v>
      </c>
      <c r="P913" s="29">
        <v>10</v>
      </c>
      <c r="Q913">
        <v>0</v>
      </c>
      <c r="R913">
        <v>60</v>
      </c>
      <c r="S913" s="26">
        <v>0</v>
      </c>
      <c r="T913" s="25">
        <f>IFERROR(PROPERTIES[[#This Row],[TE_STARTING_KN]]/(PROPERTIES[[#This Row],[WEIGHT]]*9.81),0)</f>
        <v>0</v>
      </c>
      <c r="U913" s="25">
        <v>0.3</v>
      </c>
      <c r="V913" s="22">
        <f>ROUND(IF(IFERROR(PROPERTIES[[#This Row],[TE_COEFFICIENT_CALC]],0)=0,PROPERTIES[[#This Row],[TE_COEFFICIENT_MANUAL]],PROPERTIES[[#This Row],[TE_COEFFICIENT_CALC]]),3)</f>
        <v>0.3</v>
      </c>
      <c r="W913" s="10" cm="1">
        <f t="array" ref="W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3" s="32">
        <v>0</v>
      </c>
      <c r="Y913" s="8">
        <v>0</v>
      </c>
      <c r="Z913" s="8" t="s">
        <v>871</v>
      </c>
      <c r="AA913" s="9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8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9" t="b">
        <v>0</v>
      </c>
    </row>
    <row r="914" spans="1:34">
      <c r="A914" t="s">
        <v>3334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4" t="str">
        <f>_xlfn.XLOOKUP(PROPERTIES[[#This Row],[COUNTRY]],COUNTRIES[COUNTRY_DESCRIPTION],COUNTRIES[COUNTRY_LABEL],"")</f>
        <v/>
      </c>
      <c r="G914" t="str" cm="1">
        <f t="array" ref="G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4" t="s">
        <v>320</v>
      </c>
      <c r="I914">
        <v>35</v>
      </c>
      <c r="J914">
        <v>4</v>
      </c>
      <c r="K914">
        <v>4</v>
      </c>
      <c r="L914" t="str" cm="1">
        <f t="array" ref="L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4">
        <f>_xlfn.XLOOKUP("LOADINGSPEEDDEF_"&amp;PROPERTIES[[#This Row],[LOADINGSPEED]],LOADINGSPEEDDEF[TYPE],LOADINGSPEEDDEF[SPEED])</f>
        <v>40</v>
      </c>
      <c r="N914" cm="1">
        <f t="array" ref="N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4">
        <f>IF(ISNUMBER(SEARCH("passenger",PROPERTIES[[#This Row],[CARGODEF]])),1,0)</f>
        <v>1</v>
      </c>
      <c r="P914" s="29">
        <v>15</v>
      </c>
      <c r="Q914">
        <v>0</v>
      </c>
      <c r="R914">
        <v>60</v>
      </c>
      <c r="S914" s="26">
        <v>0</v>
      </c>
      <c r="T914" s="26">
        <f>IFERROR(PROPERTIES[[#This Row],[TE_STARTING_KN]]/(PROPERTIES[[#This Row],[WEIGHT]]*9.81),0)</f>
        <v>0</v>
      </c>
      <c r="U914" s="25">
        <v>0.3</v>
      </c>
      <c r="V914" s="22">
        <f>ROUND(IF(IFERROR(PROPERTIES[[#This Row],[TE_COEFFICIENT_CALC]],0)=0,PROPERTIES[[#This Row],[TE_COEFFICIENT_MANUAL]],PROPERTIES[[#This Row],[TE_COEFFICIENT_CALC]]),3)</f>
        <v>0.3</v>
      </c>
      <c r="W914" s="33" cm="1">
        <f t="array" ref="W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4" s="32">
        <v>0</v>
      </c>
      <c r="Y914" s="8">
        <v>0</v>
      </c>
      <c r="Z914" s="8" t="s">
        <v>871</v>
      </c>
      <c r="AA914" s="9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8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9" t="b">
        <v>0</v>
      </c>
    </row>
    <row r="915" spans="1:34">
      <c r="A915" s="2" t="s">
        <v>3335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5" t="str">
        <f>_xlfn.XLOOKUP(PROPERTIES[[#This Row],[COUNTRY]],COUNTRIES[COUNTRY_DESCRIPTION],COUNTRIES[COUNTRY_LABEL],"")</f>
        <v/>
      </c>
      <c r="G915" t="str" cm="1">
        <f t="array" ref="G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5" t="s">
        <v>320</v>
      </c>
      <c r="I915">
        <v>33</v>
      </c>
      <c r="J915">
        <v>4</v>
      </c>
      <c r="K915">
        <v>4</v>
      </c>
      <c r="L915" t="str" cm="1">
        <f t="array" ref="L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5">
        <f>_xlfn.XLOOKUP("LOADINGSPEEDDEF_"&amp;PROPERTIES[[#This Row],[LOADINGSPEED]],LOADINGSPEEDDEF[TYPE],LOADINGSPEEDDEF[SPEED])</f>
        <v>40</v>
      </c>
      <c r="N915" cm="1">
        <f t="array" ref="N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5">
        <f>IF(ISNUMBER(SEARCH("passenger",PROPERTIES[[#This Row],[CARGODEF]])),1,0)</f>
        <v>1</v>
      </c>
      <c r="P915" s="29">
        <v>14</v>
      </c>
      <c r="Q915">
        <v>0</v>
      </c>
      <c r="R915">
        <v>60</v>
      </c>
      <c r="S915" s="26">
        <v>0</v>
      </c>
      <c r="T915" s="26">
        <f>IFERROR(PROPERTIES[[#This Row],[TE_STARTING_KN]]/(PROPERTIES[[#This Row],[WEIGHT]]*9.81),0)</f>
        <v>0</v>
      </c>
      <c r="U915" s="25">
        <v>0.3</v>
      </c>
      <c r="V915" s="22">
        <f>ROUND(IF(IFERROR(PROPERTIES[[#This Row],[TE_COEFFICIENT_CALC]],0)=0,PROPERTIES[[#This Row],[TE_COEFFICIENT_MANUAL]],PROPERTIES[[#This Row],[TE_COEFFICIENT_CALC]]),3)</f>
        <v>0.3</v>
      </c>
      <c r="W915" s="33" cm="1">
        <f t="array" ref="W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5" s="32">
        <v>0</v>
      </c>
      <c r="Y915" s="8">
        <v>0</v>
      </c>
      <c r="Z915" s="8" t="s">
        <v>871</v>
      </c>
      <c r="AA915" s="9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8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9" t="b">
        <v>0</v>
      </c>
    </row>
    <row r="916" spans="1:34">
      <c r="A916" s="2" t="s">
        <v>3338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6" t="str">
        <f>_xlfn.XLOOKUP(PROPERTIES[[#This Row],[COUNTRY]],COUNTRIES[COUNTRY_DESCRIPTION],COUNTRIES[COUNTRY_LABEL],"")</f>
        <v/>
      </c>
      <c r="G916" t="str" cm="1">
        <f t="array" ref="G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6" t="s">
        <v>320</v>
      </c>
      <c r="I916">
        <v>91</v>
      </c>
      <c r="J916">
        <v>8</v>
      </c>
      <c r="K916">
        <v>8</v>
      </c>
      <c r="L916" t="str" cm="1">
        <f t="array" ref="L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6">
        <f>_xlfn.XLOOKUP("LOADINGSPEEDDEF_"&amp;PROPERTIES[[#This Row],[LOADINGSPEED]],LOADINGSPEEDDEF[TYPE],LOADINGSPEEDDEF[SPEED])</f>
        <v>40</v>
      </c>
      <c r="N916" cm="1">
        <f t="array" ref="N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6">
        <f>IF(ISNUMBER(SEARCH("passenger",PROPERTIES[[#This Row],[CARGODEF]])),1,0)</f>
        <v>1</v>
      </c>
      <c r="P916" s="29">
        <v>35</v>
      </c>
      <c r="Q916">
        <v>0</v>
      </c>
      <c r="R916">
        <v>160</v>
      </c>
      <c r="S916" s="26">
        <v>0</v>
      </c>
      <c r="T916" s="26">
        <f>IFERROR(PROPERTIES[[#This Row],[TE_STARTING_KN]]/(PROPERTIES[[#This Row],[WEIGHT]]*9.81),0)</f>
        <v>0</v>
      </c>
      <c r="U916" s="26">
        <v>0.3</v>
      </c>
      <c r="V916" s="22">
        <f>ROUND(IF(IFERROR(PROPERTIES[[#This Row],[TE_COEFFICIENT_CALC]],0)=0,PROPERTIES[[#This Row],[TE_COEFFICIENT_MANUAL]],PROPERTIES[[#This Row],[TE_COEFFICIENT_CALC]]),3)</f>
        <v>0.3</v>
      </c>
      <c r="W916" s="33" cm="1">
        <f t="array" ref="W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6" s="32">
        <v>0</v>
      </c>
      <c r="Y916" s="8">
        <v>0</v>
      </c>
      <c r="Z916" s="8" t="s">
        <v>879</v>
      </c>
      <c r="AA916" s="8" t="s">
        <v>871</v>
      </c>
      <c r="AB916" s="2" t="s">
        <v>886</v>
      </c>
      <c r="AC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8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9" t="b">
        <v>0</v>
      </c>
    </row>
    <row r="917" spans="1:34">
      <c r="A917" s="2" t="s">
        <v>3339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7" t="str">
        <f>_xlfn.XLOOKUP(PROPERTIES[[#This Row],[COUNTRY]],COUNTRIES[COUNTRY_DESCRIPTION],COUNTRIES[COUNTRY_LABEL],"")</f>
        <v/>
      </c>
      <c r="G917" t="str" cm="1">
        <f t="array" ref="G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7" t="s">
        <v>665</v>
      </c>
      <c r="I917">
        <v>91</v>
      </c>
      <c r="J917">
        <v>8</v>
      </c>
      <c r="K917">
        <v>8</v>
      </c>
      <c r="L917" t="str" cm="1">
        <f t="array" ref="L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7">
        <f>_xlfn.XLOOKUP("LOADINGSPEEDDEF_"&amp;PROPERTIES[[#This Row],[LOADINGSPEED]],LOADINGSPEEDDEF[TYPE],LOADINGSPEEDDEF[SPEED])</f>
        <v>15</v>
      </c>
      <c r="N917" cm="1">
        <f t="array" ref="N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7">
        <f>IF(ISNUMBER(SEARCH("passenger",PROPERTIES[[#This Row],[CARGODEF]])),1,0)</f>
        <v>0</v>
      </c>
      <c r="P917" s="29">
        <v>35</v>
      </c>
      <c r="Q917">
        <v>0</v>
      </c>
      <c r="R917">
        <v>160</v>
      </c>
      <c r="S917" s="26">
        <v>0</v>
      </c>
      <c r="T917" s="26">
        <f>IFERROR(PROPERTIES[[#This Row],[TE_STARTING_KN]]/(PROPERTIES[[#This Row],[WEIGHT]]*9.81),0)</f>
        <v>0</v>
      </c>
      <c r="U917" s="26">
        <v>0.3</v>
      </c>
      <c r="V917" s="22">
        <f>ROUND(IF(IFERROR(PROPERTIES[[#This Row],[TE_COEFFICIENT_CALC]],0)=0,PROPERTIES[[#This Row],[TE_COEFFICIENT_MANUAL]],PROPERTIES[[#This Row],[TE_COEFFICIENT_CALC]]),3)</f>
        <v>0.3</v>
      </c>
      <c r="W917" s="33" cm="1">
        <f t="array" ref="W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7" s="32">
        <v>0</v>
      </c>
      <c r="Y917" s="8">
        <v>0</v>
      </c>
      <c r="Z917" s="8" t="s">
        <v>879</v>
      </c>
      <c r="AA917" s="8" t="s">
        <v>871</v>
      </c>
      <c r="AB917" s="2" t="s">
        <v>886</v>
      </c>
      <c r="AC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8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9" t="b">
        <v>0</v>
      </c>
    </row>
    <row r="918" spans="1:34">
      <c r="A918" s="2" t="s">
        <v>3342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8" t="str">
        <f>_xlfn.XLOOKUP(PROPERTIES[[#This Row],[COUNTRY]],COUNTRIES[COUNTRY_DESCRIPTION],COUNTRIES[COUNTRY_LABEL],"")</f>
        <v/>
      </c>
      <c r="G918" t="str" cm="1">
        <f t="array" ref="G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8" t="s">
        <v>320</v>
      </c>
      <c r="I918">
        <v>170</v>
      </c>
      <c r="J918">
        <v>8</v>
      </c>
      <c r="K918">
        <v>8</v>
      </c>
      <c r="L918" t="str" cm="1">
        <f t="array" ref="L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8">
        <f>_xlfn.XLOOKUP("LOADINGSPEEDDEF_"&amp;PROPERTIES[[#This Row],[LOADINGSPEED]],LOADINGSPEEDDEF[TYPE],LOADINGSPEEDDEF[SPEED])</f>
        <v>40</v>
      </c>
      <c r="N918" cm="1">
        <f t="array" ref="N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8">
        <f>IF(ISNUMBER(SEARCH("passenger",PROPERTIES[[#This Row],[CARGODEF]])),1,0)</f>
        <v>1</v>
      </c>
      <c r="P918" s="29">
        <v>48</v>
      </c>
      <c r="Q918">
        <v>0</v>
      </c>
      <c r="R918">
        <v>115</v>
      </c>
      <c r="S918" s="26">
        <v>0</v>
      </c>
      <c r="T918" s="26">
        <f>IFERROR(PROPERTIES[[#This Row],[TE_STARTING_KN]]/(PROPERTIES[[#This Row],[WEIGHT]]*9.81),0)</f>
        <v>0</v>
      </c>
      <c r="U918" s="26">
        <v>0.3</v>
      </c>
      <c r="V918" s="22">
        <f>ROUND(IF(IFERROR(PROPERTIES[[#This Row],[TE_COEFFICIENT_CALC]],0)=0,PROPERTIES[[#This Row],[TE_COEFFICIENT_MANUAL]],PROPERTIES[[#This Row],[TE_COEFFICIENT_CALC]]),3)</f>
        <v>0.3</v>
      </c>
      <c r="W918" s="33" cm="1">
        <f t="array" ref="W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8" s="32">
        <v>0</v>
      </c>
      <c r="Y918" s="8">
        <v>0</v>
      </c>
      <c r="Z918" s="8" t="s">
        <v>871</v>
      </c>
      <c r="AA918" s="9" t="s">
        <v>868</v>
      </c>
      <c r="AB918" s="2" t="s">
        <v>887</v>
      </c>
      <c r="AC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8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9" t="b">
        <v>0</v>
      </c>
    </row>
    <row r="919" spans="1:34">
      <c r="A919" s="2" t="s">
        <v>3344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9" t="str">
        <f>_xlfn.XLOOKUP(PROPERTIES[[#This Row],[COUNTRY]],COUNTRIES[COUNTRY_DESCRIPTION],COUNTRIES[COUNTRY_LABEL],"")</f>
        <v/>
      </c>
      <c r="G919" t="str" cm="1">
        <f t="array" ref="G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9" t="s">
        <v>320</v>
      </c>
      <c r="I919">
        <v>175</v>
      </c>
      <c r="J919">
        <v>8</v>
      </c>
      <c r="K919">
        <v>8</v>
      </c>
      <c r="L919" t="str" cm="1">
        <f t="array" ref="L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9">
        <f>_xlfn.XLOOKUP("LOADINGSPEEDDEF_"&amp;PROPERTIES[[#This Row],[LOADINGSPEED]],LOADINGSPEEDDEF[TYPE],LOADINGSPEEDDEF[SPEED])</f>
        <v>40</v>
      </c>
      <c r="N919" t="str" cm="1">
        <f t="array" ref="N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19">
        <f>IF(ISNUMBER(SEARCH("passenger",PROPERTIES[[#This Row],[CARGODEF]])),1,0)</f>
        <v>1</v>
      </c>
      <c r="P919" s="29">
        <v>46</v>
      </c>
      <c r="Q919">
        <v>0</v>
      </c>
      <c r="R919">
        <v>115</v>
      </c>
      <c r="S919" s="26">
        <v>0</v>
      </c>
      <c r="T919" s="26">
        <f>IFERROR(PROPERTIES[[#This Row],[TE_STARTING_KN]]/(PROPERTIES[[#This Row],[WEIGHT]]*9.81),0)</f>
        <v>0</v>
      </c>
      <c r="U919" s="26">
        <v>0.3</v>
      </c>
      <c r="V919" s="22">
        <f>ROUND(IF(IFERROR(PROPERTIES[[#This Row],[TE_COEFFICIENT_CALC]],0)=0,PROPERTIES[[#This Row],[TE_COEFFICIENT_MANUAL]],PROPERTIES[[#This Row],[TE_COEFFICIENT_CALC]]),3)</f>
        <v>0.3</v>
      </c>
      <c r="W919" s="33" cm="1">
        <f t="array" ref="W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9" s="32">
        <v>0</v>
      </c>
      <c r="Y919" s="8">
        <v>0</v>
      </c>
      <c r="Z919" s="8" t="s">
        <v>871</v>
      </c>
      <c r="AA919" s="9" t="s">
        <v>868</v>
      </c>
      <c r="AB919" s="2" t="s">
        <v>887</v>
      </c>
      <c r="AC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8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9" t="b">
        <v>0</v>
      </c>
    </row>
    <row r="920" spans="1:34">
      <c r="A920" s="2" t="s">
        <v>3346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0" t="str">
        <f>_xlfn.XLOOKUP(PROPERTIES[[#This Row],[COUNTRY]],COUNTRIES[COUNTRY_DESCRIPTION],COUNTRIES[COUNTRY_LABEL],"")</f>
        <v/>
      </c>
      <c r="G920" t="str" cm="1">
        <f t="array" ref="G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0" t="s">
        <v>320</v>
      </c>
      <c r="I920">
        <v>173</v>
      </c>
      <c r="J920">
        <v>8</v>
      </c>
      <c r="K920">
        <v>8</v>
      </c>
      <c r="L920" t="str" cm="1">
        <f t="array" ref="L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0">
        <f>_xlfn.XLOOKUP("LOADINGSPEEDDEF_"&amp;PROPERTIES[[#This Row],[LOADINGSPEED]],LOADINGSPEEDDEF[TYPE],LOADINGSPEEDDEF[SPEED])</f>
        <v>40</v>
      </c>
      <c r="N920" cm="1">
        <f t="array" ref="N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0">
        <f>IF(ISNUMBER(SEARCH("passenger",PROPERTIES[[#This Row],[CARGODEF]])),1,0)</f>
        <v>1</v>
      </c>
      <c r="P920" s="29">
        <v>46</v>
      </c>
      <c r="Q920">
        <v>0</v>
      </c>
      <c r="R920">
        <v>115</v>
      </c>
      <c r="S920" s="26">
        <v>0</v>
      </c>
      <c r="T920" s="26">
        <f>IFERROR(PROPERTIES[[#This Row],[TE_STARTING_KN]]/(PROPERTIES[[#This Row],[WEIGHT]]*9.81),0)</f>
        <v>0</v>
      </c>
      <c r="U920" s="26">
        <v>0.3</v>
      </c>
      <c r="V920" s="22">
        <f>ROUND(IF(IFERROR(PROPERTIES[[#This Row],[TE_COEFFICIENT_CALC]],0)=0,PROPERTIES[[#This Row],[TE_COEFFICIENT_MANUAL]],PROPERTIES[[#This Row],[TE_COEFFICIENT_CALC]]),3)</f>
        <v>0.3</v>
      </c>
      <c r="W920" s="33" cm="1">
        <f t="array" ref="W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0" s="32">
        <v>0</v>
      </c>
      <c r="Y920" s="8">
        <v>0</v>
      </c>
      <c r="Z920" s="8" t="s">
        <v>871</v>
      </c>
      <c r="AA920" s="9" t="s">
        <v>868</v>
      </c>
      <c r="AB920" s="2" t="s">
        <v>887</v>
      </c>
      <c r="AC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8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9" t="b">
        <v>0</v>
      </c>
    </row>
    <row r="921" spans="1:34">
      <c r="A921" s="2" t="s">
        <v>3348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1" t="str">
        <f>_xlfn.XLOOKUP(PROPERTIES[[#This Row],[COUNTRY]],COUNTRIES[COUNTRY_DESCRIPTION],COUNTRIES[COUNTRY_LABEL],"")</f>
        <v/>
      </c>
      <c r="G921" t="str" cm="1">
        <f t="array" ref="G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1" t="s">
        <v>320</v>
      </c>
      <c r="I921">
        <v>87</v>
      </c>
      <c r="J921">
        <v>8</v>
      </c>
      <c r="K921">
        <v>8</v>
      </c>
      <c r="L921" t="str" cm="1">
        <f t="array" ref="L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1">
        <f>_xlfn.XLOOKUP("LOADINGSPEEDDEF_"&amp;PROPERTIES[[#This Row],[LOADINGSPEED]],LOADINGSPEEDDEF[TYPE],LOADINGSPEEDDEF[SPEED])</f>
        <v>40</v>
      </c>
      <c r="N921" cm="1">
        <f t="array" ref="N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1">
        <f>IF(ISNUMBER(SEARCH("passenger",PROPERTIES[[#This Row],[CARGODEF]])),1,0)</f>
        <v>1</v>
      </c>
      <c r="P921" s="29">
        <v>38</v>
      </c>
      <c r="Q921">
        <v>0</v>
      </c>
      <c r="R921">
        <v>115</v>
      </c>
      <c r="S921" s="26">
        <v>0</v>
      </c>
      <c r="T921" s="26">
        <f>IFERROR(PROPERTIES[[#This Row],[TE_STARTING_KN]]/(PROPERTIES[[#This Row],[WEIGHT]]*9.81),0)</f>
        <v>0</v>
      </c>
      <c r="U921" s="26">
        <v>0.3</v>
      </c>
      <c r="V921" s="22">
        <f>ROUND(IF(IFERROR(PROPERTIES[[#This Row],[TE_COEFFICIENT_CALC]],0)=0,PROPERTIES[[#This Row],[TE_COEFFICIENT_MANUAL]],PROPERTIES[[#This Row],[TE_COEFFICIENT_CALC]]),3)</f>
        <v>0.3</v>
      </c>
      <c r="W921" s="33" cm="1">
        <f t="array" ref="W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1" s="32">
        <v>0</v>
      </c>
      <c r="Y921" s="8">
        <v>0</v>
      </c>
      <c r="Z921" s="8" t="s">
        <v>871</v>
      </c>
      <c r="AA921" s="9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8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9" t="b">
        <v>0</v>
      </c>
    </row>
    <row r="922" spans="1:34">
      <c r="A922" s="2" t="s">
        <v>3350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2" t="str">
        <f>_xlfn.XLOOKUP(PROPERTIES[[#This Row],[COUNTRY]],COUNTRIES[COUNTRY_DESCRIPTION],COUNTRIES[COUNTRY_LABEL],"")</f>
        <v/>
      </c>
      <c r="G922" t="str" cm="1">
        <f t="array" ref="G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2" t="s">
        <v>665</v>
      </c>
      <c r="I922">
        <v>87</v>
      </c>
      <c r="J922">
        <v>8</v>
      </c>
      <c r="K922">
        <v>8</v>
      </c>
      <c r="L922" t="str" cm="1">
        <f t="array" ref="L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2">
        <f>_xlfn.XLOOKUP("LOADINGSPEEDDEF_"&amp;PROPERTIES[[#This Row],[LOADINGSPEED]],LOADINGSPEEDDEF[TYPE],LOADINGSPEEDDEF[SPEED])</f>
        <v>15</v>
      </c>
      <c r="N922" cm="1">
        <f t="array" ref="N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2">
        <f>IF(ISNUMBER(SEARCH("passenger",PROPERTIES[[#This Row],[CARGODEF]])),1,0)</f>
        <v>0</v>
      </c>
      <c r="P922" s="29">
        <v>38</v>
      </c>
      <c r="Q922">
        <v>0</v>
      </c>
      <c r="R922">
        <v>115</v>
      </c>
      <c r="S922" s="26">
        <v>0</v>
      </c>
      <c r="T922" s="26">
        <f>IFERROR(PROPERTIES[[#This Row],[TE_STARTING_KN]]/(PROPERTIES[[#This Row],[WEIGHT]]*9.81),0)</f>
        <v>0</v>
      </c>
      <c r="U922" s="26">
        <v>0.3</v>
      </c>
      <c r="V922" s="22">
        <f>ROUND(IF(IFERROR(PROPERTIES[[#This Row],[TE_COEFFICIENT_CALC]],0)=0,PROPERTIES[[#This Row],[TE_COEFFICIENT_MANUAL]],PROPERTIES[[#This Row],[TE_COEFFICIENT_CALC]]),3)</f>
        <v>0.3</v>
      </c>
      <c r="W922" s="33" cm="1">
        <f t="array" ref="W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2" s="32">
        <v>0</v>
      </c>
      <c r="Y922" s="8">
        <v>0</v>
      </c>
      <c r="Z922" s="8" t="s">
        <v>871</v>
      </c>
      <c r="AA922" s="9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8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9" t="b">
        <v>0</v>
      </c>
    </row>
    <row r="923" spans="1:34">
      <c r="A923" s="2" t="s">
        <v>3352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3" t="str">
        <f>_xlfn.XLOOKUP(PROPERTIES[[#This Row],[COUNTRY]],COUNTRIES[COUNTRY_DESCRIPTION],COUNTRIES[COUNTRY_LABEL],"")</f>
        <v/>
      </c>
      <c r="G923" t="str" cm="1">
        <f t="array" ref="G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3" t="s">
        <v>320</v>
      </c>
      <c r="I923">
        <v>91</v>
      </c>
      <c r="J923">
        <v>8</v>
      </c>
      <c r="K923">
        <v>8</v>
      </c>
      <c r="L923" t="str" cm="1">
        <f t="array" ref="L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3">
        <f>_xlfn.XLOOKUP("LOADINGSPEEDDEF_"&amp;PROPERTIES[[#This Row],[LOADINGSPEED]],LOADINGSPEEDDEF[TYPE],LOADINGSPEEDDEF[SPEED])</f>
        <v>40</v>
      </c>
      <c r="N923" cm="1">
        <f t="array" ref="N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3">
        <f>IF(ISNUMBER(SEARCH("passenger",PROPERTIES[[#This Row],[CARGODEF]])),1,0)</f>
        <v>1</v>
      </c>
      <c r="P923" s="29">
        <v>35</v>
      </c>
      <c r="Q923">
        <v>0</v>
      </c>
      <c r="R923">
        <v>160</v>
      </c>
      <c r="S923" s="26">
        <v>0</v>
      </c>
      <c r="T923" s="26">
        <f>IFERROR(PROPERTIES[[#This Row],[TE_STARTING_KN]]/(PROPERTIES[[#This Row],[WEIGHT]]*9.81),0)</f>
        <v>0</v>
      </c>
      <c r="U923" s="26">
        <v>0.3</v>
      </c>
      <c r="V923" s="22">
        <f>ROUND(IF(IFERROR(PROPERTIES[[#This Row],[TE_COEFFICIENT_CALC]],0)=0,PROPERTIES[[#This Row],[TE_COEFFICIENT_MANUAL]],PROPERTIES[[#This Row],[TE_COEFFICIENT_CALC]]),3)</f>
        <v>0.3</v>
      </c>
      <c r="W923" s="33" cm="1">
        <f t="array" ref="W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3" s="32">
        <v>0</v>
      </c>
      <c r="Y923" s="8">
        <v>0</v>
      </c>
      <c r="Z923" s="8" t="s">
        <v>871</v>
      </c>
      <c r="AA923" s="9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8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9" t="b">
        <v>0</v>
      </c>
    </row>
    <row r="924" spans="1:34">
      <c r="A924" s="2" t="s">
        <v>3353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4" t="str">
        <f>_xlfn.XLOOKUP(PROPERTIES[[#This Row],[COUNTRY]],COUNTRIES[COUNTRY_DESCRIPTION],COUNTRIES[COUNTRY_LABEL],"")</f>
        <v/>
      </c>
      <c r="G924" t="str" cm="1">
        <f t="array" ref="G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4" t="s">
        <v>665</v>
      </c>
      <c r="I924">
        <v>91</v>
      </c>
      <c r="J924">
        <v>8</v>
      </c>
      <c r="K924">
        <v>8</v>
      </c>
      <c r="L924" t="str" cm="1">
        <f t="array" ref="L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4">
        <f>_xlfn.XLOOKUP("LOADINGSPEEDDEF_"&amp;PROPERTIES[[#This Row],[LOADINGSPEED]],LOADINGSPEEDDEF[TYPE],LOADINGSPEEDDEF[SPEED])</f>
        <v>15</v>
      </c>
      <c r="N924" cm="1">
        <f t="array" ref="N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4">
        <f>IF(ISNUMBER(SEARCH("passenger",PROPERTIES[[#This Row],[CARGODEF]])),1,0)</f>
        <v>0</v>
      </c>
      <c r="P924" s="29">
        <v>35</v>
      </c>
      <c r="Q924">
        <v>0</v>
      </c>
      <c r="R924">
        <v>160</v>
      </c>
      <c r="S924" s="26">
        <v>0</v>
      </c>
      <c r="T924" s="26">
        <f>IFERROR(PROPERTIES[[#This Row],[TE_STARTING_KN]]/(PROPERTIES[[#This Row],[WEIGHT]]*9.81),0)</f>
        <v>0</v>
      </c>
      <c r="U924" s="26">
        <v>0.3</v>
      </c>
      <c r="V924" s="22">
        <f>ROUND(IF(IFERROR(PROPERTIES[[#This Row],[TE_COEFFICIENT_CALC]],0)=0,PROPERTIES[[#This Row],[TE_COEFFICIENT_MANUAL]],PROPERTIES[[#This Row],[TE_COEFFICIENT_CALC]]),3)</f>
        <v>0.3</v>
      </c>
      <c r="W924" s="33" cm="1">
        <f t="array" ref="W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4" s="32">
        <v>0</v>
      </c>
      <c r="Y924" s="8">
        <v>0</v>
      </c>
      <c r="Z924" s="8" t="s">
        <v>871</v>
      </c>
      <c r="AA924" s="9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8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9" t="b">
        <v>0</v>
      </c>
    </row>
    <row r="925" spans="1:34">
      <c r="A925" s="2" t="s">
        <v>3358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5" t="str">
        <f>_xlfn.XLOOKUP(PROPERTIES[[#This Row],[COUNTRY]],COUNTRIES[COUNTRY_DESCRIPTION],COUNTRIES[COUNTRY_LABEL],"")</f>
        <v/>
      </c>
      <c r="G925" t="str" cm="1">
        <f t="array" ref="G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5" t="s">
        <v>320</v>
      </c>
      <c r="I925">
        <v>114</v>
      </c>
      <c r="J925">
        <v>8</v>
      </c>
      <c r="K925">
        <v>8</v>
      </c>
      <c r="L925" t="str" cm="1">
        <f t="array" ref="L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5">
        <f>_xlfn.XLOOKUP("LOADINGSPEEDDEF_"&amp;PROPERTIES[[#This Row],[LOADINGSPEED]],LOADINGSPEEDDEF[TYPE],LOADINGSPEEDDEF[SPEED])</f>
        <v>40</v>
      </c>
      <c r="N925" cm="1">
        <f t="array" ref="N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5">
        <f>IF(ISNUMBER(SEARCH("passenger",PROPERTIES[[#This Row],[CARGODEF]])),1,0)</f>
        <v>1</v>
      </c>
      <c r="P925" s="29">
        <v>33</v>
      </c>
      <c r="Q925">
        <v>0</v>
      </c>
      <c r="R925">
        <v>115</v>
      </c>
      <c r="S925" s="26">
        <v>0</v>
      </c>
      <c r="T925" s="26">
        <f>IFERROR(PROPERTIES[[#This Row],[TE_STARTING_KN]]/(PROPERTIES[[#This Row],[WEIGHT]]*9.81),0)</f>
        <v>0</v>
      </c>
      <c r="U925" s="26">
        <v>0.3</v>
      </c>
      <c r="V925" s="22">
        <f>ROUND(IF(IFERROR(PROPERTIES[[#This Row],[TE_COEFFICIENT_CALC]],0)=0,PROPERTIES[[#This Row],[TE_COEFFICIENT_MANUAL]],PROPERTIES[[#This Row],[TE_COEFFICIENT_CALC]]),3)</f>
        <v>0.3</v>
      </c>
      <c r="W925" s="33" cm="1">
        <f t="array" ref="W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5" s="32">
        <v>0</v>
      </c>
      <c r="Y925" s="8">
        <v>0</v>
      </c>
      <c r="Z925" s="8" t="s">
        <v>871</v>
      </c>
      <c r="AA925" s="9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8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9" t="b">
        <v>0</v>
      </c>
    </row>
    <row r="926" spans="1:34">
      <c r="A926" s="2" t="s">
        <v>3360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6" t="str">
        <f>_xlfn.XLOOKUP(PROPERTIES[[#This Row],[COUNTRY]],COUNTRIES[COUNTRY_DESCRIPTION],COUNTRIES[COUNTRY_LABEL],"")</f>
        <v/>
      </c>
      <c r="G926" t="str" cm="1">
        <f t="array" ref="G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6" t="s">
        <v>320</v>
      </c>
      <c r="I926">
        <v>79</v>
      </c>
      <c r="J926">
        <v>8</v>
      </c>
      <c r="K926">
        <v>8</v>
      </c>
      <c r="L926" t="str" cm="1">
        <f t="array" ref="L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6">
        <f>_xlfn.XLOOKUP("LOADINGSPEEDDEF_"&amp;PROPERTIES[[#This Row],[LOADINGSPEED]],LOADINGSPEEDDEF[TYPE],LOADINGSPEEDDEF[SPEED])</f>
        <v>40</v>
      </c>
      <c r="N926" cm="1">
        <f t="array" ref="N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6">
        <f>IF(ISNUMBER(SEARCH("passenger",PROPERTIES[[#This Row],[CARGODEF]])),1,0)</f>
        <v>1</v>
      </c>
      <c r="P926" s="29">
        <v>35</v>
      </c>
      <c r="Q926">
        <v>0</v>
      </c>
      <c r="R926">
        <v>115</v>
      </c>
      <c r="S926" s="26">
        <v>0</v>
      </c>
      <c r="T926" s="26">
        <f>IFERROR(PROPERTIES[[#This Row],[TE_STARTING_KN]]/(PROPERTIES[[#This Row],[WEIGHT]]*9.81),0)</f>
        <v>0</v>
      </c>
      <c r="U926" s="26">
        <v>0.3</v>
      </c>
      <c r="V926" s="22">
        <f>ROUND(IF(IFERROR(PROPERTIES[[#This Row],[TE_COEFFICIENT_CALC]],0)=0,PROPERTIES[[#This Row],[TE_COEFFICIENT_MANUAL]],PROPERTIES[[#This Row],[TE_COEFFICIENT_CALC]]),3)</f>
        <v>0.3</v>
      </c>
      <c r="W926" s="33" cm="1">
        <f t="array" ref="W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6" s="32">
        <v>0</v>
      </c>
      <c r="Y926" s="8">
        <v>0</v>
      </c>
      <c r="Z926" s="8" t="s">
        <v>871</v>
      </c>
      <c r="AA926" s="9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8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9" t="b">
        <v>0</v>
      </c>
    </row>
    <row r="927" spans="1:34">
      <c r="A927" s="2" t="s">
        <v>3361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7" t="str">
        <f>_xlfn.XLOOKUP(PROPERTIES[[#This Row],[COUNTRY]],COUNTRIES[COUNTRY_DESCRIPTION],COUNTRIES[COUNTRY_LABEL],"")</f>
        <v/>
      </c>
      <c r="G927" t="str" cm="1">
        <f t="array" ref="G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7" t="s">
        <v>665</v>
      </c>
      <c r="I927">
        <v>79</v>
      </c>
      <c r="J927">
        <v>8</v>
      </c>
      <c r="K927">
        <v>8</v>
      </c>
      <c r="L927" t="str" cm="1">
        <f t="array" ref="L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7">
        <f>_xlfn.XLOOKUP("LOADINGSPEEDDEF_"&amp;PROPERTIES[[#This Row],[LOADINGSPEED]],LOADINGSPEEDDEF[TYPE],LOADINGSPEEDDEF[SPEED])</f>
        <v>15</v>
      </c>
      <c r="N927" cm="1">
        <f t="array" ref="N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7">
        <f>IF(ISNUMBER(SEARCH("passenger",PROPERTIES[[#This Row],[CARGODEF]])),1,0)</f>
        <v>0</v>
      </c>
      <c r="P927" s="29">
        <v>35</v>
      </c>
      <c r="Q927">
        <v>0</v>
      </c>
      <c r="R927">
        <v>115</v>
      </c>
      <c r="S927" s="26">
        <v>0</v>
      </c>
      <c r="T927" s="26">
        <f>IFERROR(PROPERTIES[[#This Row],[TE_STARTING_KN]]/(PROPERTIES[[#This Row],[WEIGHT]]*9.81),0)</f>
        <v>0</v>
      </c>
      <c r="U927" s="26">
        <v>0.3</v>
      </c>
      <c r="V927" s="22">
        <f>ROUND(IF(IFERROR(PROPERTIES[[#This Row],[TE_COEFFICIENT_CALC]],0)=0,PROPERTIES[[#This Row],[TE_COEFFICIENT_MANUAL]],PROPERTIES[[#This Row],[TE_COEFFICIENT_CALC]]),3)</f>
        <v>0.3</v>
      </c>
      <c r="W927" s="33" cm="1">
        <f t="array" ref="W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7" s="32">
        <v>0</v>
      </c>
      <c r="Y927" s="8">
        <v>0</v>
      </c>
      <c r="Z927" s="8" t="s">
        <v>871</v>
      </c>
      <c r="AA927" s="9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8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9" t="b">
        <v>0</v>
      </c>
    </row>
    <row r="928" spans="1:34">
      <c r="A928" s="2" t="s">
        <v>3363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8" t="str">
        <f>_xlfn.XLOOKUP(PROPERTIES[[#This Row],[COUNTRY]],COUNTRIES[COUNTRY_DESCRIPTION],COUNTRIES[COUNTRY_LABEL],"")</f>
        <v/>
      </c>
      <c r="G928" t="str" cm="1">
        <f t="array" ref="G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8" t="s">
        <v>320</v>
      </c>
      <c r="I928">
        <v>78</v>
      </c>
      <c r="J928">
        <v>7</v>
      </c>
      <c r="K928">
        <v>7</v>
      </c>
      <c r="L928" t="str" cm="1">
        <f t="array" ref="L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8">
        <f>_xlfn.XLOOKUP("LOADINGSPEEDDEF_"&amp;PROPERTIES[[#This Row],[LOADINGSPEED]],LOADINGSPEEDDEF[TYPE],LOADINGSPEEDDEF[SPEED])</f>
        <v>40</v>
      </c>
      <c r="N928" cm="1">
        <f t="array" ref="N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8">
        <f>IF(ISNUMBER(SEARCH("passenger",PROPERTIES[[#This Row],[CARGODEF]])),1,0)</f>
        <v>1</v>
      </c>
      <c r="P928" s="29">
        <v>26</v>
      </c>
      <c r="Q928">
        <v>0</v>
      </c>
      <c r="R928">
        <v>80</v>
      </c>
      <c r="S928" s="26">
        <v>0</v>
      </c>
      <c r="T928" s="26">
        <f>IFERROR(PROPERTIES[[#This Row],[TE_STARTING_KN]]/(PROPERTIES[[#This Row],[WEIGHT]]*9.81),0)</f>
        <v>0</v>
      </c>
      <c r="U928" s="26">
        <v>0.3</v>
      </c>
      <c r="V928" s="22">
        <f>ROUND(IF(IFERROR(PROPERTIES[[#This Row],[TE_COEFFICIENT_CALC]],0)=0,PROPERTIES[[#This Row],[TE_COEFFICIENT_MANUAL]],PROPERTIES[[#This Row],[TE_COEFFICIENT_CALC]]),3)</f>
        <v>0.3</v>
      </c>
      <c r="W928" s="33" cm="1">
        <f t="array" ref="W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8" s="32">
        <v>0</v>
      </c>
      <c r="Y928" s="8">
        <v>0</v>
      </c>
      <c r="Z928" s="8" t="s">
        <v>871</v>
      </c>
      <c r="AA928" s="9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8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9" t="b">
        <v>0</v>
      </c>
    </row>
    <row r="929" spans="1:34">
      <c r="A929" s="2" t="s">
        <v>3365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9" t="str">
        <f>_xlfn.XLOOKUP(PROPERTIES[[#This Row],[COUNTRY]],COUNTRIES[COUNTRY_DESCRIPTION],COUNTRIES[COUNTRY_LABEL],"")</f>
        <v/>
      </c>
      <c r="G929" t="str" cm="1">
        <f t="array" ref="G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9" t="s">
        <v>320</v>
      </c>
      <c r="I929">
        <v>56</v>
      </c>
      <c r="J929">
        <v>7</v>
      </c>
      <c r="K929">
        <v>7</v>
      </c>
      <c r="L929" t="str" cm="1">
        <f t="array" ref="L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9">
        <f>_xlfn.XLOOKUP("LOADINGSPEEDDEF_"&amp;PROPERTIES[[#This Row],[LOADINGSPEED]],LOADINGSPEEDDEF[TYPE],LOADINGSPEEDDEF[SPEED])</f>
        <v>40</v>
      </c>
      <c r="N929" cm="1">
        <f t="array" ref="N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9">
        <f>IF(ISNUMBER(SEARCH("passenger",PROPERTIES[[#This Row],[CARGODEF]])),1,0)</f>
        <v>1</v>
      </c>
      <c r="P929" s="29">
        <v>24</v>
      </c>
      <c r="Q929">
        <v>0</v>
      </c>
      <c r="R929">
        <v>80</v>
      </c>
      <c r="S929" s="26">
        <v>0</v>
      </c>
      <c r="T929" s="26">
        <f>IFERROR(PROPERTIES[[#This Row],[TE_STARTING_KN]]/(PROPERTIES[[#This Row],[WEIGHT]]*9.81),0)</f>
        <v>0</v>
      </c>
      <c r="U929" s="26">
        <v>0.3</v>
      </c>
      <c r="V929" s="22">
        <f>ROUND(IF(IFERROR(PROPERTIES[[#This Row],[TE_COEFFICIENT_CALC]],0)=0,PROPERTIES[[#This Row],[TE_COEFFICIENT_MANUAL]],PROPERTIES[[#This Row],[TE_COEFFICIENT_CALC]]),3)</f>
        <v>0.3</v>
      </c>
      <c r="W929" s="33" cm="1">
        <f t="array" ref="W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9" s="32">
        <v>0</v>
      </c>
      <c r="Y929" s="8">
        <v>0</v>
      </c>
      <c r="Z929" s="8" t="s">
        <v>871</v>
      </c>
      <c r="AA929" s="9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8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9" t="b">
        <v>0</v>
      </c>
    </row>
    <row r="930" spans="1:34">
      <c r="A930" s="2" t="s">
        <v>3366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0" t="str">
        <f>_xlfn.XLOOKUP(PROPERTIES[[#This Row],[COUNTRY]],COUNTRIES[COUNTRY_DESCRIPTION],COUNTRIES[COUNTRY_LABEL],"")</f>
        <v/>
      </c>
      <c r="G930" t="str" cm="1">
        <f t="array" ref="G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0" t="s">
        <v>665</v>
      </c>
      <c r="I930">
        <v>56</v>
      </c>
      <c r="J930">
        <v>7</v>
      </c>
      <c r="K930">
        <v>7</v>
      </c>
      <c r="L930" t="str" cm="1">
        <f t="array" ref="L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0">
        <f>_xlfn.XLOOKUP("LOADINGSPEEDDEF_"&amp;PROPERTIES[[#This Row],[LOADINGSPEED]],LOADINGSPEEDDEF[TYPE],LOADINGSPEEDDEF[SPEED])</f>
        <v>15</v>
      </c>
      <c r="N930" cm="1">
        <f t="array" ref="N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0">
        <f>IF(ISNUMBER(SEARCH("passenger",PROPERTIES[[#This Row],[CARGODEF]])),1,0)</f>
        <v>0</v>
      </c>
      <c r="P930" s="29">
        <v>24</v>
      </c>
      <c r="Q930">
        <v>0</v>
      </c>
      <c r="R930">
        <v>80</v>
      </c>
      <c r="S930" s="26">
        <v>0</v>
      </c>
      <c r="T930" s="26">
        <f>IFERROR(PROPERTIES[[#This Row],[TE_STARTING_KN]]/(PROPERTIES[[#This Row],[WEIGHT]]*9.81),0)</f>
        <v>0</v>
      </c>
      <c r="U930" s="26">
        <v>0.3</v>
      </c>
      <c r="V930" s="22">
        <f>ROUND(IF(IFERROR(PROPERTIES[[#This Row],[TE_COEFFICIENT_CALC]],0)=0,PROPERTIES[[#This Row],[TE_COEFFICIENT_MANUAL]],PROPERTIES[[#This Row],[TE_COEFFICIENT_CALC]]),3)</f>
        <v>0.3</v>
      </c>
      <c r="W930" s="33" cm="1">
        <f t="array" ref="W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0" s="32">
        <v>0</v>
      </c>
      <c r="Y930" s="8">
        <v>0</v>
      </c>
      <c r="Z930" s="8" t="s">
        <v>871</v>
      </c>
      <c r="AA930" s="9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8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9" t="b">
        <v>0</v>
      </c>
    </row>
    <row r="931" spans="1:34">
      <c r="A931" s="2" t="s">
        <v>3374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1" t="str">
        <f>_xlfn.XLOOKUP(PROPERTIES[[#This Row],[COUNTRY]],COUNTRIES[COUNTRY_DESCRIPTION],COUNTRIES[COUNTRY_LABEL],"")</f>
        <v/>
      </c>
      <c r="G931" t="str" cm="1">
        <f t="array" ref="G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1" t="s">
        <v>320</v>
      </c>
      <c r="I931">
        <v>42</v>
      </c>
      <c r="J931">
        <v>6</v>
      </c>
      <c r="K931">
        <v>6</v>
      </c>
      <c r="L931" t="str" cm="1">
        <f t="array" ref="L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1">
        <f>_xlfn.XLOOKUP("LOADINGSPEEDDEF_"&amp;PROPERTIES[[#This Row],[LOADINGSPEED]],LOADINGSPEEDDEF[TYPE],LOADINGSPEEDDEF[SPEED])</f>
        <v>40</v>
      </c>
      <c r="N931" cm="1">
        <f t="array" ref="N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1">
        <f>IF(ISNUMBER(SEARCH("passenger",PROPERTIES[[#This Row],[CARGODEF]])),1,0)</f>
        <v>1</v>
      </c>
      <c r="P931" s="29">
        <v>22</v>
      </c>
      <c r="Q931">
        <v>0</v>
      </c>
      <c r="R931">
        <v>80</v>
      </c>
      <c r="S931" s="26">
        <v>0</v>
      </c>
      <c r="T931" s="26">
        <f>IFERROR(PROPERTIES[[#This Row],[TE_STARTING_KN]]/(PROPERTIES[[#This Row],[WEIGHT]]*9.81),0)</f>
        <v>0</v>
      </c>
      <c r="U931" s="26">
        <v>0.3</v>
      </c>
      <c r="V931" s="22">
        <f>ROUND(IF(IFERROR(PROPERTIES[[#This Row],[TE_COEFFICIENT_CALC]],0)=0,PROPERTIES[[#This Row],[TE_COEFFICIENT_MANUAL]],PROPERTIES[[#This Row],[TE_COEFFICIENT_CALC]]),3)</f>
        <v>0.3</v>
      </c>
      <c r="W931" s="33" cm="1">
        <f t="array" ref="W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1" s="32">
        <v>0</v>
      </c>
      <c r="Y931" s="8">
        <v>0</v>
      </c>
      <c r="Z931" s="8" t="s">
        <v>871</v>
      </c>
      <c r="AA931" s="9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8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9" t="b">
        <v>0</v>
      </c>
    </row>
    <row r="932" spans="1:34">
      <c r="A932" s="2" t="s">
        <v>3375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2" t="str">
        <f>_xlfn.XLOOKUP(PROPERTIES[[#This Row],[COUNTRY]],COUNTRIES[COUNTRY_DESCRIPTION],COUNTRIES[COUNTRY_LABEL],"")</f>
        <v/>
      </c>
      <c r="G932" t="str" cm="1">
        <f t="array" ref="G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2" t="s">
        <v>665</v>
      </c>
      <c r="I932">
        <v>42</v>
      </c>
      <c r="J932">
        <v>6</v>
      </c>
      <c r="K932">
        <v>6</v>
      </c>
      <c r="L932" t="str" cm="1">
        <f t="array" ref="L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2">
        <f>_xlfn.XLOOKUP("LOADINGSPEEDDEF_"&amp;PROPERTIES[[#This Row],[LOADINGSPEED]],LOADINGSPEEDDEF[TYPE],LOADINGSPEEDDEF[SPEED])</f>
        <v>15</v>
      </c>
      <c r="N932" cm="1">
        <f t="array" ref="N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2">
        <f>IF(ISNUMBER(SEARCH("passenger",PROPERTIES[[#This Row],[CARGODEF]])),1,0)</f>
        <v>0</v>
      </c>
      <c r="P932" s="29">
        <v>22</v>
      </c>
      <c r="Q932">
        <v>0</v>
      </c>
      <c r="R932">
        <v>80</v>
      </c>
      <c r="S932" s="26">
        <v>0</v>
      </c>
      <c r="T932" s="26">
        <f>IFERROR(PROPERTIES[[#This Row],[TE_STARTING_KN]]/(PROPERTIES[[#This Row],[WEIGHT]]*9.81),0)</f>
        <v>0</v>
      </c>
      <c r="U932" s="26">
        <v>0.3</v>
      </c>
      <c r="V932" s="22">
        <f>ROUND(IF(IFERROR(PROPERTIES[[#This Row],[TE_COEFFICIENT_CALC]],0)=0,PROPERTIES[[#This Row],[TE_COEFFICIENT_MANUAL]],PROPERTIES[[#This Row],[TE_COEFFICIENT_CALC]]),3)</f>
        <v>0.3</v>
      </c>
      <c r="W932" s="33" cm="1">
        <f t="array" ref="W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2" s="32">
        <v>0</v>
      </c>
      <c r="Y932" s="8">
        <v>0</v>
      </c>
      <c r="Z932" s="8" t="s">
        <v>871</v>
      </c>
      <c r="AA932" s="9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8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9" t="b">
        <v>0</v>
      </c>
    </row>
    <row r="933" spans="1:34">
      <c r="A933" s="2" t="s">
        <v>3377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3" t="str">
        <f>_xlfn.XLOOKUP(PROPERTIES[[#This Row],[COUNTRY]],COUNTRIES[COUNTRY_DESCRIPTION],COUNTRIES[COUNTRY_LABEL],"")</f>
        <v/>
      </c>
      <c r="G933" t="str" cm="1">
        <f t="array" ref="G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3" t="s">
        <v>320</v>
      </c>
      <c r="I933">
        <v>53</v>
      </c>
      <c r="J933">
        <v>6</v>
      </c>
      <c r="K933">
        <v>6</v>
      </c>
      <c r="L933" t="str" cm="1">
        <f t="array" ref="L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3">
        <f>_xlfn.XLOOKUP("LOADINGSPEEDDEF_"&amp;PROPERTIES[[#This Row],[LOADINGSPEED]],LOADINGSPEEDDEF[TYPE],LOADINGSPEEDDEF[SPEED])</f>
        <v>40</v>
      </c>
      <c r="N933" cm="1">
        <f t="array" ref="N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3">
        <f>IF(ISNUMBER(SEARCH("passenger",PROPERTIES[[#This Row],[CARGODEF]])),1,0)</f>
        <v>1</v>
      </c>
      <c r="P933" s="29">
        <v>18</v>
      </c>
      <c r="Q933">
        <v>0</v>
      </c>
      <c r="R933">
        <v>60</v>
      </c>
      <c r="S933" s="26">
        <v>0</v>
      </c>
      <c r="T933" s="26">
        <f>IFERROR(PROPERTIES[[#This Row],[TE_STARTING_KN]]/(PROPERTIES[[#This Row],[WEIGHT]]*9.81),0)</f>
        <v>0</v>
      </c>
      <c r="U933" s="26">
        <v>0.3</v>
      </c>
      <c r="V933" s="22">
        <f>ROUND(IF(IFERROR(PROPERTIES[[#This Row],[TE_COEFFICIENT_CALC]],0)=0,PROPERTIES[[#This Row],[TE_COEFFICIENT_MANUAL]],PROPERTIES[[#This Row],[TE_COEFFICIENT_CALC]]),3)</f>
        <v>0.3</v>
      </c>
      <c r="W933" s="33" cm="1">
        <f t="array" ref="W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3" s="32">
        <v>0</v>
      </c>
      <c r="Y933" s="8">
        <v>0</v>
      </c>
      <c r="Z933" s="8" t="s">
        <v>871</v>
      </c>
      <c r="AA933" s="9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8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9" t="b">
        <v>0</v>
      </c>
    </row>
    <row r="934" spans="1:34">
      <c r="A934" s="2" t="s">
        <v>3380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t="s">
        <v>1710</v>
      </c>
      <c r="F934" t="str">
        <f>_xlfn.XLOOKUP(PROPERTIES[[#This Row],[COUNTRY]],COUNTRIES[COUNTRY_DESCRIPTION],COUNTRIES[COUNTRY_LABEL],"")</f>
        <v>AU</v>
      </c>
      <c r="G934" t="str" cm="1">
        <f t="array" ref="G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4" t="s">
        <v>19</v>
      </c>
      <c r="I934">
        <v>0</v>
      </c>
      <c r="J934">
        <v>8</v>
      </c>
      <c r="K934">
        <v>8</v>
      </c>
      <c r="L934" t="str" cm="1">
        <f t="array" ref="L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4">
        <f>_xlfn.XLOOKUP("LOADINGSPEEDDEF_"&amp;PROPERTIES[[#This Row],[LOADINGSPEED]],LOADINGSPEEDDEF[TYPE],LOADINGSPEEDDEF[SPEED])</f>
        <v>20</v>
      </c>
      <c r="N934" cm="1">
        <f t="array" ref="N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4">
        <f>IF(ISNUMBER(SEARCH("passenger",PROPERTIES[[#This Row],[CARGODEF]])),1,0)</f>
        <v>0</v>
      </c>
      <c r="P934" s="29">
        <v>119</v>
      </c>
      <c r="Q934">
        <v>3860</v>
      </c>
      <c r="R934">
        <v>130</v>
      </c>
      <c r="S934" s="26">
        <f>222*1.3</f>
        <v>288.60000000000002</v>
      </c>
      <c r="T934" s="26">
        <f>IFERROR(PROPERTIES[[#This Row],[TE_STARTING_KN]]/(PROPERTIES[[#This Row],[WEIGHT]]*9.81),0)</f>
        <v>0.24721815331637242</v>
      </c>
      <c r="U934" s="26">
        <v>0</v>
      </c>
      <c r="V934" s="22">
        <f>ROUND(IF(IFERROR(PROPERTIES[[#This Row],[TE_COEFFICIENT_CALC]],0)=0,PROPERTIES[[#This Row],[TE_COEFFICIENT_MANUAL]],PROPERTIES[[#This Row],[TE_COEFFICIENT_CALC]]),3)</f>
        <v>0.247</v>
      </c>
      <c r="W934" s="33" cm="1">
        <f t="array" ref="W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4" s="32">
        <v>0</v>
      </c>
      <c r="Y934" s="8">
        <v>0</v>
      </c>
      <c r="Z934" s="8" t="s">
        <v>871</v>
      </c>
      <c r="AA934" s="9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8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9" t="b">
        <v>0</v>
      </c>
    </row>
    <row r="935" spans="1:34">
      <c r="A935" s="2" t="s">
        <v>3383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t="s">
        <v>1867</v>
      </c>
      <c r="F935" t="str">
        <f>_xlfn.XLOOKUP(PROPERTIES[[#This Row],[COUNTRY]],COUNTRIES[COUNTRY_DESCRIPTION],COUNTRIES[COUNTRY_LABEL],"")</f>
        <v>NZ</v>
      </c>
      <c r="G935" t="str" cm="1">
        <f t="array" ref="G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5" t="s">
        <v>17</v>
      </c>
      <c r="I935">
        <v>113</v>
      </c>
      <c r="J935">
        <v>8</v>
      </c>
      <c r="K935">
        <v>8</v>
      </c>
      <c r="L935" t="str" cm="1">
        <f t="array" ref="L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5">
        <f>_xlfn.XLOOKUP("LOADINGSPEEDDEF_"&amp;PROPERTIES[[#This Row],[LOADINGSPEED]],LOADINGSPEEDDEF[TYPE],LOADINGSPEEDDEF[SPEED])</f>
        <v>40</v>
      </c>
      <c r="N935" cm="1">
        <f t="array" ref="N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5">
        <f>IF(ISNUMBER(SEARCH("passenger",PROPERTIES[[#This Row],[CARGODEF]])),1,0)</f>
        <v>1</v>
      </c>
      <c r="P935" s="29">
        <v>37.6</v>
      </c>
      <c r="Q935">
        <v>540</v>
      </c>
      <c r="R935">
        <v>110</v>
      </c>
      <c r="S935" s="26">
        <v>0</v>
      </c>
      <c r="T935" s="26">
        <f>IFERROR(PROPERTIES[[#This Row],[TE_STARTING_KN]]/(PROPERTIES[[#This Row],[WEIGHT]]*9.81),0)</f>
        <v>0</v>
      </c>
      <c r="U935" s="26">
        <v>0.25</v>
      </c>
      <c r="V935" s="22">
        <f>ROUND(IF(IFERROR(PROPERTIES[[#This Row],[TE_COEFFICIENT_CALC]],0)=0,PROPERTIES[[#This Row],[TE_COEFFICIENT_MANUAL]],PROPERTIES[[#This Row],[TE_COEFFICIENT_CALC]]),3)</f>
        <v>0.25</v>
      </c>
      <c r="W935" s="33" cm="1">
        <f t="array" ref="W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5" s="32">
        <v>113</v>
      </c>
      <c r="Y935" s="8">
        <v>8</v>
      </c>
      <c r="Z935" s="8" t="s">
        <v>871</v>
      </c>
      <c r="AA935" s="9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8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9" t="b">
        <v>0</v>
      </c>
    </row>
    <row r="936" spans="1:34">
      <c r="A936" s="2" t="s">
        <v>3385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t="s">
        <v>1867</v>
      </c>
      <c r="F936" t="str">
        <f>_xlfn.XLOOKUP(PROPERTIES[[#This Row],[COUNTRY]],COUNTRIES[COUNTRY_DESCRIPTION],COUNTRIES[COUNTRY_LABEL],"")</f>
        <v>NZ</v>
      </c>
      <c r="G936" t="str" cm="1">
        <f t="array" ref="G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6" t="s">
        <v>17</v>
      </c>
      <c r="I936">
        <f>124/2</f>
        <v>62</v>
      </c>
      <c r="J936">
        <v>8</v>
      </c>
      <c r="K936">
        <v>8</v>
      </c>
      <c r="L936" t="str" cm="1">
        <f t="array" ref="L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6">
        <f>_xlfn.XLOOKUP("LOADINGSPEEDDEF_"&amp;PROPERTIES[[#This Row],[LOADINGSPEED]],LOADINGSPEEDDEF[TYPE],LOADINGSPEEDDEF[SPEED])</f>
        <v>40</v>
      </c>
      <c r="N936" cm="1">
        <f t="array" ref="N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6">
        <f>IF(ISNUMBER(SEARCH("passenger",PROPERTIES[[#This Row],[CARGODEF]])),1,0)</f>
        <v>1</v>
      </c>
      <c r="P936" s="29">
        <v>43.5</v>
      </c>
      <c r="Q936">
        <v>599</v>
      </c>
      <c r="R936">
        <v>97</v>
      </c>
      <c r="S936" s="26">
        <v>0</v>
      </c>
      <c r="T936" s="26">
        <f>IFERROR(PROPERTIES[[#This Row],[TE_STARTING_KN]]/(PROPERTIES[[#This Row],[WEIGHT]]*9.81),0)</f>
        <v>0</v>
      </c>
      <c r="U936" s="26">
        <v>0.25</v>
      </c>
      <c r="V936" s="22">
        <f>ROUND(IF(IFERROR(PROPERTIES[[#This Row],[TE_COEFFICIENT_CALC]],0)=0,PROPERTIES[[#This Row],[TE_COEFFICIENT_MANUAL]],PROPERTIES[[#This Row],[TE_COEFFICIENT_CALC]]),3)</f>
        <v>0.25</v>
      </c>
      <c r="W936" s="33" cm="1">
        <f t="array" ref="W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36" s="32">
        <v>62</v>
      </c>
      <c r="Y936" s="8">
        <v>8</v>
      </c>
      <c r="Z936" s="8" t="s">
        <v>871</v>
      </c>
      <c r="AA936" s="9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8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9" t="b">
        <v>0</v>
      </c>
    </row>
    <row r="937" spans="1:34">
      <c r="A937" s="2" t="s">
        <v>3389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t="s">
        <v>1867</v>
      </c>
      <c r="F937" t="str">
        <f>_xlfn.XLOOKUP(PROPERTIES[[#This Row],[COUNTRY]],COUNTRIES[COUNTRY_DESCRIPTION],COUNTRIES[COUNTRY_LABEL],"")</f>
        <v>NZ</v>
      </c>
      <c r="G937" t="str" cm="1">
        <f t="array" ref="G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7" t="s">
        <v>17</v>
      </c>
      <c r="I937">
        <f>INT((147+230)/2)</f>
        <v>188</v>
      </c>
      <c r="J937">
        <v>8</v>
      </c>
      <c r="K937">
        <v>8</v>
      </c>
      <c r="L937" t="str" cm="1">
        <f t="array" ref="L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7">
        <f>_xlfn.XLOOKUP("LOADINGSPEEDDEF_"&amp;PROPERTIES[[#This Row],[LOADINGSPEED]],LOADINGSPEEDDEF[TYPE],LOADINGSPEEDDEF[SPEED])</f>
        <v>40</v>
      </c>
      <c r="N937" t="str" cm="1">
        <f t="array" ref="N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7">
        <f>IF(ISNUMBER(SEARCH("passenger",PROPERTIES[[#This Row],[CARGODEF]])),1,0)</f>
        <v>1</v>
      </c>
      <c r="P937" s="29">
        <v>38</v>
      </c>
      <c r="Q937">
        <v>910</v>
      </c>
      <c r="R937">
        <v>120</v>
      </c>
      <c r="S937" s="26">
        <v>0</v>
      </c>
      <c r="T937" s="26">
        <f>IFERROR(PROPERTIES[[#This Row],[TE_STARTING_KN]]/(PROPERTIES[[#This Row],[WEIGHT]]*9.81),0)</f>
        <v>0</v>
      </c>
      <c r="U937" s="26">
        <v>0.3</v>
      </c>
      <c r="V937" s="22">
        <f>ROUND(IF(IFERROR(PROPERTIES[[#This Row],[TE_COEFFICIENT_CALC]],0)=0,PROPERTIES[[#This Row],[TE_COEFFICIENT_MANUAL]],PROPERTIES[[#This Row],[TE_COEFFICIENT_CALC]]),3)</f>
        <v>0.3</v>
      </c>
      <c r="W937" s="33" cm="1">
        <f t="array" ref="W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37" s="32">
        <v>188</v>
      </c>
      <c r="Y937" s="8">
        <v>8</v>
      </c>
      <c r="Z937" s="8" t="s">
        <v>871</v>
      </c>
      <c r="AA937" s="9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8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9" t="b">
        <v>0</v>
      </c>
    </row>
    <row r="938" spans="1:34">
      <c r="A938" s="2" t="s">
        <v>3393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t="s">
        <v>1796</v>
      </c>
      <c r="F938" t="str">
        <f>_xlfn.XLOOKUP(PROPERTIES[[#This Row],[COUNTRY]],COUNTRIES[COUNTRY_DESCRIPTION],COUNTRIES[COUNTRY_LABEL],"")</f>
        <v>HU</v>
      </c>
      <c r="G938" t="str" cm="1">
        <f t="array" ref="G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38" t="s">
        <v>320</v>
      </c>
      <c r="I938">
        <v>132</v>
      </c>
      <c r="J938">
        <v>8</v>
      </c>
      <c r="K938">
        <v>8</v>
      </c>
      <c r="L938" t="str" cm="1">
        <f t="array" ref="L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938">
        <f>_xlfn.XLOOKUP("LOADINGSPEEDDEF_"&amp;PROPERTIES[[#This Row],[LOADINGSPEED]],LOADINGSPEEDDEF[TYPE],LOADINGSPEEDDEF[SPEED])</f>
        <v>120</v>
      </c>
      <c r="N938" t="str" cm="1">
        <f t="array" ref="N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8">
        <f>IF(ISNUMBER(SEARCH("passenger",PROPERTIES[[#This Row],[CARGODEF]])),1,0)</f>
        <v>1</v>
      </c>
      <c r="P938" s="29">
        <v>32.5</v>
      </c>
      <c r="Q938">
        <f>250*1.3*8</f>
        <v>2600</v>
      </c>
      <c r="R938">
        <v>90</v>
      </c>
      <c r="S938" s="26">
        <v>0</v>
      </c>
      <c r="T938" s="25">
        <f>IFERROR(PROPERTIES[[#This Row],[TE_STARTING_KN]]/(PROPERTIES[[#This Row],[WEIGHT]]*9.81),0)</f>
        <v>0</v>
      </c>
      <c r="U938" s="25">
        <v>0.25</v>
      </c>
      <c r="V938" s="22">
        <f>ROUND(IF(IFERROR(PROPERTIES[[#This Row],[TE_COEFFICIENT_CALC]],0)=0,PROPERTIES[[#This Row],[TE_COEFFICIENT_MANUAL]],PROPERTIES[[#This Row],[TE_COEFFICIENT_CALC]]),3)</f>
        <v>0.25</v>
      </c>
      <c r="W938" s="10" cm="1">
        <f t="array" ref="W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938" s="32">
        <v>150</v>
      </c>
      <c r="Y938" s="8">
        <v>8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8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9" t="b">
        <v>0</v>
      </c>
    </row>
    <row r="939" spans="1:34">
      <c r="A939" s="2" t="s">
        <v>3396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t="s">
        <v>1710</v>
      </c>
      <c r="F939" t="str">
        <f>_xlfn.XLOOKUP(PROPERTIES[[#This Row],[COUNTRY]],COUNTRIES[COUNTRY_DESCRIPTION],COUNTRIES[COUNTRY_LABEL],"")</f>
        <v>AU</v>
      </c>
      <c r="G939" t="str" cm="1">
        <f t="array" ref="G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9" t="s">
        <v>19</v>
      </c>
      <c r="I939">
        <v>0</v>
      </c>
      <c r="J939">
        <v>6</v>
      </c>
      <c r="K939">
        <v>6</v>
      </c>
      <c r="L939" t="str" cm="1">
        <f t="array" ref="L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9">
        <f>_xlfn.XLOOKUP("LOADINGSPEEDDEF_"&amp;PROPERTIES[[#This Row],[LOADINGSPEED]],LOADINGSPEEDDEF[TYPE],LOADINGSPEEDDEF[SPEED])</f>
        <v>20</v>
      </c>
      <c r="N939" cm="1">
        <f t="array" ref="N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9">
        <f>IF(ISNUMBER(SEARCH("passenger",PROPERTIES[[#This Row],[CARGODEF]])),1,0)</f>
        <v>0</v>
      </c>
      <c r="P939" s="29">
        <v>60</v>
      </c>
      <c r="Q939">
        <v>840</v>
      </c>
      <c r="R939">
        <v>80</v>
      </c>
      <c r="S939" s="26">
        <v>0</v>
      </c>
      <c r="T939" s="26">
        <f>IFERROR(PROPERTIES[[#This Row],[TE_STARTING_KN]]/(PROPERTIES[[#This Row],[WEIGHT]]*9.81),0)</f>
        <v>0</v>
      </c>
      <c r="U939" s="26">
        <v>0.3</v>
      </c>
      <c r="V939" s="22">
        <f>ROUND(IF(IFERROR(PROPERTIES[[#This Row],[TE_COEFFICIENT_CALC]],0)=0,PROPERTIES[[#This Row],[TE_COEFFICIENT_MANUAL]],PROPERTIES[[#This Row],[TE_COEFFICIENT_CALC]]),3)</f>
        <v>0.3</v>
      </c>
      <c r="W939" s="33" cm="1">
        <f t="array" ref="W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9" s="32">
        <v>0</v>
      </c>
      <c r="Y939" s="8">
        <v>0</v>
      </c>
      <c r="Z939" s="8" t="s">
        <v>871</v>
      </c>
      <c r="AA939" t="s">
        <v>868</v>
      </c>
      <c r="AB939" s="9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8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9" t="b">
        <v>0</v>
      </c>
    </row>
    <row r="940" spans="1:34">
      <c r="A940" s="2" t="s">
        <v>3406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t="s">
        <v>1791</v>
      </c>
      <c r="F940" t="str">
        <f>_xlfn.XLOOKUP(PROPERTIES[[#This Row],[COUNTRY]],COUNTRIES[COUNTRY_DESCRIPTION],COUNTRIES[COUNTRY_LABEL],"")</f>
        <v>HK</v>
      </c>
      <c r="G940" t="str" cm="1">
        <f t="array" ref="G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0" t="s">
        <v>320</v>
      </c>
      <c r="I940">
        <v>250</v>
      </c>
      <c r="J940">
        <v>8</v>
      </c>
      <c r="K940">
        <v>8</v>
      </c>
      <c r="L940" t="str" cm="1">
        <f t="array" ref="L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40">
        <f>_xlfn.XLOOKUP("LOADINGSPEEDDEF_"&amp;PROPERTIES[[#This Row],[LOADINGSPEED]],LOADINGSPEEDDEF[TYPE],LOADINGSPEEDDEF[SPEED])</f>
        <v>40</v>
      </c>
      <c r="N940" t="str" cm="1">
        <f t="array" ref="N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0">
        <f>IF(ISNUMBER(SEARCH("passenger",PROPERTIES[[#This Row],[CARGODEF]])),1,0)</f>
        <v>1</v>
      </c>
      <c r="P940" s="29">
        <v>37</v>
      </c>
      <c r="Q940">
        <v>5149</v>
      </c>
      <c r="R940">
        <v>130</v>
      </c>
      <c r="S940" s="26">
        <v>0</v>
      </c>
      <c r="T940" s="26">
        <f>IFERROR(PROPERTIES[[#This Row],[TE_STARTING_KN]]/(PROPERTIES[[#This Row],[WEIGHT]]*9.81),0)</f>
        <v>0</v>
      </c>
      <c r="U940" s="26">
        <v>0.3</v>
      </c>
      <c r="V940" s="22">
        <f>ROUND(IF(IFERROR(PROPERTIES[[#This Row],[TE_COEFFICIENT_CALC]],0)=0,PROPERTIES[[#This Row],[TE_COEFFICIENT_MANUAL]],PROPERTIES[[#This Row],[TE_COEFFICIENT_CALC]]),3)</f>
        <v>0.3</v>
      </c>
      <c r="W940" s="33" cm="1">
        <f t="array" ref="W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0" s="32">
        <v>250</v>
      </c>
      <c r="Y940" s="8">
        <v>8</v>
      </c>
      <c r="Z940" s="8" t="s">
        <v>877</v>
      </c>
      <c r="AA940" t="s">
        <v>868</v>
      </c>
      <c r="AB940" s="9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8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9" t="b">
        <v>0</v>
      </c>
    </row>
    <row r="941" spans="1:34">
      <c r="A941" t="s">
        <v>3410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t="s">
        <v>1745</v>
      </c>
      <c r="F941" t="str">
        <f>_xlfn.XLOOKUP(PROPERTIES[[#This Row],[COUNTRY]],COUNTRIES[COUNTRY_DESCRIPTION],COUNTRIES[COUNTRY_LABEL],"")</f>
        <v>CN</v>
      </c>
      <c r="G941" t="str" cm="1">
        <f t="array" ref="G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1" t="s">
        <v>19</v>
      </c>
      <c r="I941">
        <v>0</v>
      </c>
      <c r="J941">
        <v>7</v>
      </c>
      <c r="K941">
        <v>14</v>
      </c>
      <c r="L941" t="str" cm="1">
        <f t="array" ref="L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1">
        <f>_xlfn.XLOOKUP("LOADINGSPEEDDEF_"&amp;PROPERTIES[[#This Row],[LOADINGSPEED]],LOADINGSPEEDDEF[TYPE],LOADINGSPEEDDEF[SPEED])</f>
        <v>20</v>
      </c>
      <c r="N941" t="str" cm="1">
        <f t="array" ref="N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1">
        <f>IF(ISNUMBER(SEARCH("passenger",PROPERTIES[[#This Row],[CARGODEF]])),1,0)</f>
        <v>0</v>
      </c>
      <c r="P941" s="29">
        <v>200</v>
      </c>
      <c r="Q941">
        <v>13000</v>
      </c>
      <c r="R941">
        <v>120</v>
      </c>
      <c r="S941" s="26">
        <v>760</v>
      </c>
      <c r="T941" s="25">
        <f>IFERROR(PROPERTIES[[#This Row],[TE_STARTING_KN]]/(PROPERTIES[[#This Row],[WEIGHT]]*9.81),0)</f>
        <v>0.3873598369011213</v>
      </c>
      <c r="U941" s="25">
        <v>0</v>
      </c>
      <c r="V941" s="22">
        <f>ROUND(IF(IFERROR(PROPERTIES[[#This Row],[TE_COEFFICIENT_CALC]],0)=0,PROPERTIES[[#This Row],[TE_COEFFICIENT_MANUAL]],PROPERTIES[[#This Row],[TE_COEFFICIENT_CALC]]),3)</f>
        <v>0.38700000000000001</v>
      </c>
      <c r="W941" s="10" cm="1">
        <f t="array" ref="W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1" s="32">
        <v>0</v>
      </c>
      <c r="Y941" s="8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8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9" t="b">
        <v>0</v>
      </c>
    </row>
    <row r="942" spans="1:34">
      <c r="A942" t="s">
        <v>3413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t="s">
        <v>1745</v>
      </c>
      <c r="F942" t="str">
        <f>_xlfn.XLOOKUP(PROPERTIES[[#This Row],[COUNTRY]],COUNTRIES[COUNTRY_DESCRIPTION],COUNTRIES[COUNTRY_LABEL],"")</f>
        <v>CN</v>
      </c>
      <c r="G942" t="str" cm="1">
        <f t="array" ref="G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2" t="s">
        <v>19</v>
      </c>
      <c r="I942">
        <v>0</v>
      </c>
      <c r="J942">
        <v>8</v>
      </c>
      <c r="K942">
        <v>8</v>
      </c>
      <c r="L942" t="str" cm="1">
        <f t="array" ref="L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2">
        <f>_xlfn.XLOOKUP("LOADINGSPEEDDEF_"&amp;PROPERTIES[[#This Row],[LOADINGSPEED]],LOADINGSPEEDDEF[TYPE],LOADINGSPEEDDEF[SPEED])</f>
        <v>20</v>
      </c>
      <c r="N942" t="str" cm="1">
        <f t="array" ref="N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2">
        <f>IF(ISNUMBER(SEARCH("passenger",PROPERTIES[[#This Row],[CARGODEF]])),1,0)</f>
        <v>0</v>
      </c>
      <c r="P942" s="29">
        <v>138</v>
      </c>
      <c r="Q942">
        <v>4840</v>
      </c>
      <c r="R942">
        <v>170</v>
      </c>
      <c r="S942" s="26">
        <v>245</v>
      </c>
      <c r="T942" s="26">
        <f>IFERROR(PROPERTIES[[#This Row],[TE_STARTING_KN]]/(PROPERTIES[[#This Row],[WEIGHT]]*9.81),0)</f>
        <v>0.18097475217539039</v>
      </c>
      <c r="U942" s="26">
        <v>0</v>
      </c>
      <c r="V942" s="22">
        <f>ROUND(IF(IFERROR(PROPERTIES[[#This Row],[TE_COEFFICIENT_CALC]],0)=0,PROPERTIES[[#This Row],[TE_COEFFICIENT_MANUAL]],PROPERTIES[[#This Row],[TE_COEFFICIENT_CALC]]),3)</f>
        <v>0.18099999999999999</v>
      </c>
      <c r="W942" s="33" cm="1">
        <f t="array" ref="W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2" s="32">
        <v>0</v>
      </c>
      <c r="Y942" s="8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8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9" t="b">
        <v>0</v>
      </c>
    </row>
    <row r="943" spans="1:34">
      <c r="A943" s="2" t="s">
        <v>3414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t="s">
        <v>1745</v>
      </c>
      <c r="F943" t="str">
        <f>_xlfn.XLOOKUP(PROPERTIES[[#This Row],[COUNTRY]],COUNTRIES[COUNTRY_DESCRIPTION],COUNTRIES[COUNTRY_LABEL],"")</f>
        <v>CN</v>
      </c>
      <c r="G943" t="str" cm="1">
        <f t="array" ref="G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3" t="s">
        <v>19</v>
      </c>
      <c r="I943">
        <v>0</v>
      </c>
      <c r="J943">
        <v>7</v>
      </c>
      <c r="K943">
        <v>7</v>
      </c>
      <c r="L943" t="str" cm="1">
        <f t="array" ref="L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3">
        <f>_xlfn.XLOOKUP("LOADINGSPEEDDEF_"&amp;PROPERTIES[[#This Row],[LOADINGSPEED]],LOADINGSPEEDDEF[TYPE],LOADINGSPEEDDEF[SPEED])</f>
        <v>20</v>
      </c>
      <c r="N943" t="str" cm="1">
        <f t="array" ref="N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3">
        <f>IF(ISNUMBER(SEARCH("passenger",PROPERTIES[[#This Row],[CARGODEF]])),1,0)</f>
        <v>0</v>
      </c>
      <c r="P943" s="29">
        <v>88</v>
      </c>
      <c r="Q943">
        <v>4830</v>
      </c>
      <c r="R943">
        <v>170</v>
      </c>
      <c r="S943" s="26">
        <v>208</v>
      </c>
      <c r="T943" s="26">
        <f>IFERROR(PROPERTIES[[#This Row],[TE_STARTING_KN]]/(PROPERTIES[[#This Row],[WEIGHT]]*9.81),0)</f>
        <v>0.24094152534519506</v>
      </c>
      <c r="U943" s="26">
        <v>0</v>
      </c>
      <c r="V943" s="22">
        <f>ROUND(IF(IFERROR(PROPERTIES[[#This Row],[TE_COEFFICIENT_CALC]],0)=0,PROPERTIES[[#This Row],[TE_COEFFICIENT_MANUAL]],PROPERTIES[[#This Row],[TE_COEFFICIENT_CALC]]),3)</f>
        <v>0.24099999999999999</v>
      </c>
      <c r="W943" s="33" cm="1">
        <f t="array" ref="W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3" s="32">
        <v>0</v>
      </c>
      <c r="Y943" s="8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8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9" t="b">
        <v>0</v>
      </c>
    </row>
    <row r="944" spans="1:34">
      <c r="A944" s="2" t="s">
        <v>3417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t="s">
        <v>1745</v>
      </c>
      <c r="F944" t="str">
        <f>_xlfn.XLOOKUP(PROPERTIES[[#This Row],[COUNTRY]],COUNTRIES[COUNTRY_DESCRIPTION],COUNTRIES[COUNTRY_LABEL],"")</f>
        <v>CN</v>
      </c>
      <c r="G944" t="str" cm="1">
        <f t="array" ref="G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4" t="s">
        <v>19</v>
      </c>
      <c r="I944">
        <v>0</v>
      </c>
      <c r="J944">
        <v>8</v>
      </c>
      <c r="K944">
        <v>8</v>
      </c>
      <c r="L944" t="str" cm="1">
        <f t="array" ref="L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4">
        <f>_xlfn.XLOOKUP("LOADINGSPEEDDEF_"&amp;PROPERTIES[[#This Row],[LOADINGSPEED]],LOADINGSPEEDDEF[TYPE],LOADINGSPEEDDEF[SPEED])</f>
        <v>20</v>
      </c>
      <c r="N944" t="str" cm="1">
        <f t="array" ref="N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4">
        <f>IF(ISNUMBER(SEARCH("passenger",PROPERTIES[[#This Row],[CARGODEF]])),1,0)</f>
        <v>0</v>
      </c>
      <c r="P944" s="29">
        <v>150</v>
      </c>
      <c r="Q944">
        <v>12900</v>
      </c>
      <c r="R944">
        <v>120</v>
      </c>
      <c r="S944" s="26">
        <v>584</v>
      </c>
      <c r="T944" s="26">
        <f>IFERROR(PROPERTIES[[#This Row],[TE_STARTING_KN]]/(PROPERTIES[[#This Row],[WEIGHT]]*9.81),0)</f>
        <v>0.39687393815834182</v>
      </c>
      <c r="U944" s="26">
        <v>0</v>
      </c>
      <c r="V944" s="22">
        <f>ROUND(IF(IFERROR(PROPERTIES[[#This Row],[TE_COEFFICIENT_CALC]],0)=0,PROPERTIES[[#This Row],[TE_COEFFICIENT_MANUAL]],PROPERTIES[[#This Row],[TE_COEFFICIENT_CALC]]),3)</f>
        <v>0.39700000000000002</v>
      </c>
      <c r="W944" s="33" cm="1">
        <f t="array" ref="W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4" s="32">
        <v>0</v>
      </c>
      <c r="Y944" s="8">
        <v>0</v>
      </c>
      <c r="Z944" t="s">
        <v>3514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8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4" s="2" t="b">
        <v>0</v>
      </c>
      <c r="AH944" s="9" t="b">
        <v>0</v>
      </c>
    </row>
    <row r="945" spans="1:34">
      <c r="A945" s="2" t="s">
        <v>3420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t="s">
        <v>1745</v>
      </c>
      <c r="F945" t="str">
        <f>_xlfn.XLOOKUP(PROPERTIES[[#This Row],[COUNTRY]],COUNTRIES[COUNTRY_DESCRIPTION],COUNTRIES[COUNTRY_LABEL],"")</f>
        <v>CN</v>
      </c>
      <c r="G945" t="str" cm="1">
        <f t="array" ref="G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5" t="s">
        <v>19</v>
      </c>
      <c r="I945">
        <v>0</v>
      </c>
      <c r="J945">
        <v>8</v>
      </c>
      <c r="K945">
        <v>8</v>
      </c>
      <c r="L945" t="str" cm="1">
        <f t="array" ref="L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5">
        <f>_xlfn.XLOOKUP("LOADINGSPEEDDEF_"&amp;PROPERTIES[[#This Row],[LOADINGSPEED]],LOADINGSPEEDDEF[TYPE],LOADINGSPEEDDEF[SPEED])</f>
        <v>20</v>
      </c>
      <c r="N945" t="str" cm="1">
        <f t="array" ref="N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5">
        <f>IF(ISNUMBER(SEARCH("passenger",PROPERTIES[[#This Row],[CARGODEF]])),1,0)</f>
        <v>0</v>
      </c>
      <c r="P945" s="29">
        <v>128</v>
      </c>
      <c r="Q945">
        <v>10058</v>
      </c>
      <c r="R945">
        <v>160</v>
      </c>
      <c r="S945" s="26">
        <v>420</v>
      </c>
      <c r="T945" s="26">
        <f>IFERROR(PROPERTIES[[#This Row],[TE_STARTING_KN]]/(PROPERTIES[[#This Row],[WEIGHT]]*9.81),0)</f>
        <v>0.33448012232415902</v>
      </c>
      <c r="U945" s="26">
        <v>0</v>
      </c>
      <c r="V945" s="22">
        <f>ROUND(IF(IFERROR(PROPERTIES[[#This Row],[TE_COEFFICIENT_CALC]],0)=0,PROPERTIES[[#This Row],[TE_COEFFICIENT_MANUAL]],PROPERTIES[[#This Row],[TE_COEFFICIENT_CALC]]),3)</f>
        <v>0.33400000000000002</v>
      </c>
      <c r="W945" s="33" cm="1">
        <f t="array" ref="W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5" s="32">
        <v>0</v>
      </c>
      <c r="Y945" s="8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8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5" s="2" t="b">
        <v>0</v>
      </c>
      <c r="AH945" s="9" t="b">
        <v>0</v>
      </c>
    </row>
    <row r="946" spans="1:34">
      <c r="A946" s="2" t="s">
        <v>3422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t="s">
        <v>1745</v>
      </c>
      <c r="F946" t="str">
        <f>_xlfn.XLOOKUP(PROPERTIES[[#This Row],[COUNTRY]],COUNTRIES[COUNTRY_DESCRIPTION],COUNTRIES[COUNTRY_LABEL],"")</f>
        <v>CN</v>
      </c>
      <c r="G946" t="str" cm="1">
        <f t="array" ref="G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6" t="s">
        <v>19</v>
      </c>
      <c r="I946">
        <v>0</v>
      </c>
      <c r="J946">
        <v>8</v>
      </c>
      <c r="K946">
        <v>8</v>
      </c>
      <c r="L946" t="str" cm="1">
        <f t="array" ref="L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6">
        <f>_xlfn.XLOOKUP("LOADINGSPEEDDEF_"&amp;PROPERTIES[[#This Row],[LOADINGSPEED]],LOADINGSPEEDDEF[TYPE],LOADINGSPEEDDEF[SPEED])</f>
        <v>20</v>
      </c>
      <c r="N946" cm="1">
        <f t="array" ref="N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6">
        <f>IF(ISNUMBER(SEARCH("passenger",PROPERTIES[[#This Row],[CARGODEF]])),1,0)</f>
        <v>0</v>
      </c>
      <c r="P946" s="29">
        <v>138</v>
      </c>
      <c r="Q946">
        <v>3550</v>
      </c>
      <c r="R946">
        <v>120</v>
      </c>
      <c r="S946" s="26">
        <v>243</v>
      </c>
      <c r="T946" s="26">
        <f>IFERROR(PROPERTIES[[#This Row],[TE_STARTING_KN]]/(PROPERTIES[[#This Row],[WEIGHT]]*9.81),0)</f>
        <v>0.17949740725967292</v>
      </c>
      <c r="U946" s="26">
        <v>0</v>
      </c>
      <c r="V946" s="22">
        <f>ROUND(IF(IFERROR(PROPERTIES[[#This Row],[TE_COEFFICIENT_CALC]],0)=0,PROPERTIES[[#This Row],[TE_COEFFICIENT_MANUAL]],PROPERTIES[[#This Row],[TE_COEFFICIENT_CALC]]),3)</f>
        <v>0.17899999999999999</v>
      </c>
      <c r="W946" s="33" cm="1">
        <f t="array" ref="W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6" s="32">
        <v>0</v>
      </c>
      <c r="Y946" s="8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8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9" t="b">
        <v>0</v>
      </c>
    </row>
    <row r="947" spans="1:34">
      <c r="A947" s="2" t="s">
        <v>3426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t="s">
        <v>1745</v>
      </c>
      <c r="F947" t="str">
        <f>_xlfn.XLOOKUP(PROPERTIES[[#This Row],[COUNTRY]],COUNTRIES[COUNTRY_DESCRIPTION],COUNTRIES[COUNTRY_LABEL],"")</f>
        <v>CN</v>
      </c>
      <c r="G947" t="str" cm="1">
        <f t="array" ref="G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7" t="s">
        <v>19</v>
      </c>
      <c r="I947">
        <v>0</v>
      </c>
      <c r="J947">
        <v>8</v>
      </c>
      <c r="K947">
        <v>8</v>
      </c>
      <c r="L947" t="str" cm="1">
        <f t="array" ref="L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7">
        <f>_xlfn.XLOOKUP("LOADINGSPEEDDEF_"&amp;PROPERTIES[[#This Row],[LOADINGSPEED]],LOADINGSPEEDDEF[TYPE],LOADINGSPEEDDEF[SPEED])</f>
        <v>20</v>
      </c>
      <c r="N947" cm="1">
        <f t="array" ref="N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7">
        <f>IF(ISNUMBER(SEARCH("passenger",PROPERTIES[[#This Row],[CARGODEF]])),1,0)</f>
        <v>0</v>
      </c>
      <c r="P947" s="29">
        <v>138</v>
      </c>
      <c r="Q947">
        <v>1320</v>
      </c>
      <c r="R947">
        <v>100</v>
      </c>
      <c r="S947" s="26">
        <v>392</v>
      </c>
      <c r="T947" s="26">
        <f>IFERROR(PROPERTIES[[#This Row],[TE_STARTING_KN]]/(PROPERTIES[[#This Row],[WEIGHT]]*9.81),0)</f>
        <v>0.28955960348062465</v>
      </c>
      <c r="U947" s="26">
        <v>0</v>
      </c>
      <c r="V947" s="22">
        <f>ROUND(IF(IFERROR(PROPERTIES[[#This Row],[TE_COEFFICIENT_CALC]],0)=0,PROPERTIES[[#This Row],[TE_COEFFICIENT_MANUAL]],PROPERTIES[[#This Row],[TE_COEFFICIENT_CALC]]),3)</f>
        <v>0.28999999999999998</v>
      </c>
      <c r="W947" s="33" cm="1">
        <f t="array" ref="W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7" s="32">
        <v>0</v>
      </c>
      <c r="Y947" s="8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8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9" t="b">
        <v>0</v>
      </c>
    </row>
    <row r="948" spans="1:34">
      <c r="A948" s="2" t="s">
        <v>3429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t="s">
        <v>1745</v>
      </c>
      <c r="F948" t="str">
        <f>_xlfn.XLOOKUP(PROPERTIES[[#This Row],[COUNTRY]],COUNTRIES[COUNTRY_DESCRIPTION],COUNTRIES[COUNTRY_LABEL],"")</f>
        <v>CN</v>
      </c>
      <c r="G948" t="str" cm="1">
        <f t="array" ref="G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8" t="s">
        <v>19</v>
      </c>
      <c r="I948">
        <v>0</v>
      </c>
      <c r="J948">
        <v>7</v>
      </c>
      <c r="K948">
        <v>11</v>
      </c>
      <c r="L948" t="str" cm="1">
        <f t="array" ref="L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8">
        <f>_xlfn.XLOOKUP("LOADINGSPEEDDEF_"&amp;PROPERTIES[[#This Row],[LOADINGSPEED]],LOADINGSPEEDDEF[TYPE],LOADINGSPEEDDEF[SPEED])</f>
        <v>20</v>
      </c>
      <c r="N948" cm="1">
        <f t="array" ref="N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8">
        <f>IF(ISNUMBER(SEARCH("passenger",PROPERTIES[[#This Row],[CARGODEF]])),1,0)</f>
        <v>0</v>
      </c>
      <c r="P948" s="29">
        <v>186</v>
      </c>
      <c r="Q948">
        <v>2270</v>
      </c>
      <c r="R948">
        <v>85</v>
      </c>
      <c r="S948" s="26">
        <v>250</v>
      </c>
      <c r="T948" s="26">
        <f>IFERROR(PROPERTIES[[#This Row],[TE_STARTING_KN]]/(PROPERTIES[[#This Row],[WEIGHT]]*9.81),0)</f>
        <v>0.13701182686089464</v>
      </c>
      <c r="U948" s="26">
        <v>0</v>
      </c>
      <c r="V948" s="22">
        <f>ROUND(IF(IFERROR(PROPERTIES[[#This Row],[TE_COEFFICIENT_CALC]],0)=0,PROPERTIES[[#This Row],[TE_COEFFICIENT_MANUAL]],PROPERTIES[[#This Row],[TE_COEFFICIENT_CALC]]),3)</f>
        <v>0.13700000000000001</v>
      </c>
      <c r="W948" s="33" cm="1">
        <f t="array" ref="W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948" s="32">
        <v>0</v>
      </c>
      <c r="Y948" s="8">
        <v>4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8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9" t="b">
        <v>0</v>
      </c>
    </row>
    <row r="949" spans="1:34">
      <c r="A949" s="2" t="s">
        <v>3430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t="s">
        <v>1745</v>
      </c>
      <c r="F949" t="str">
        <f>_xlfn.XLOOKUP(PROPERTIES[[#This Row],[COUNTRY]],COUNTRIES[COUNTRY_DESCRIPTION],COUNTRIES[COUNTRY_LABEL],"")</f>
        <v>CN</v>
      </c>
      <c r="G949" t="str" cm="1">
        <f t="array" ref="G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9" t="s">
        <v>19</v>
      </c>
      <c r="I949">
        <v>0</v>
      </c>
      <c r="J949">
        <v>7</v>
      </c>
      <c r="K949">
        <v>11</v>
      </c>
      <c r="L949" t="str" cm="1">
        <f t="array" ref="L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9">
        <f>_xlfn.XLOOKUP("LOADINGSPEEDDEF_"&amp;PROPERTIES[[#This Row],[LOADINGSPEED]],LOADINGSPEEDDEF[TYPE],LOADINGSPEEDDEF[SPEED])</f>
        <v>20</v>
      </c>
      <c r="N949" cm="1">
        <f t="array" ref="N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9">
        <f>IF(ISNUMBER(SEARCH("passenger",PROPERTIES[[#This Row],[CARGODEF]])),1,0)</f>
        <v>0</v>
      </c>
      <c r="P949" s="29">
        <v>180</v>
      </c>
      <c r="Q949">
        <v>1397</v>
      </c>
      <c r="R949">
        <v>110</v>
      </c>
      <c r="S949" s="26">
        <v>180</v>
      </c>
      <c r="T949" s="26">
        <f>IFERROR(PROPERTIES[[#This Row],[TE_STARTING_KN]]/(PROPERTIES[[#This Row],[WEIGHT]]*9.81),0)</f>
        <v>0.1019367991845056</v>
      </c>
      <c r="U949" s="26">
        <v>0</v>
      </c>
      <c r="V949" s="22">
        <f>ROUND(IF(IFERROR(PROPERTIES[[#This Row],[TE_COEFFICIENT_CALC]],0)=0,PROPERTIES[[#This Row],[TE_COEFFICIENT_MANUAL]],PROPERTIES[[#This Row],[TE_COEFFICIENT_CALC]]),3)</f>
        <v>0.10199999999999999</v>
      </c>
      <c r="W949" s="33" cm="1">
        <f t="array" ref="W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9" s="32">
        <v>0</v>
      </c>
      <c r="Y949" s="8">
        <v>4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8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9" t="b">
        <v>0</v>
      </c>
    </row>
    <row r="950" spans="1:34">
      <c r="A950" s="2" t="s">
        <v>3435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t="s">
        <v>1796</v>
      </c>
      <c r="F950" t="str">
        <f>_xlfn.XLOOKUP(PROPERTIES[[#This Row],[COUNTRY]],COUNTRIES[COUNTRY_DESCRIPTION],COUNTRIES[COUNTRY_LABEL],"")</f>
        <v>HU</v>
      </c>
      <c r="G950" t="str" cm="1">
        <f t="array" ref="G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0" t="s">
        <v>320</v>
      </c>
      <c r="I950">
        <v>100</v>
      </c>
      <c r="J950">
        <v>7</v>
      </c>
      <c r="K950">
        <v>7</v>
      </c>
      <c r="L950" t="str" cm="1">
        <f t="array" ref="L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50">
        <f>_xlfn.XLOOKUP("LOADINGSPEEDDEF_"&amp;PROPERTIES[[#This Row],[LOADINGSPEED]],LOADINGSPEEDDEF[TYPE],LOADINGSPEEDDEF[SPEED])</f>
        <v>40</v>
      </c>
      <c r="N950" t="str" cm="1">
        <f t="array" ref="N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0">
        <f>IF(ISNUMBER(SEARCH("passenger",PROPERTIES[[#This Row],[CARGODEF]])),1,0)</f>
        <v>1</v>
      </c>
      <c r="P950" s="29">
        <v>8.5</v>
      </c>
      <c r="Q950">
        <v>190</v>
      </c>
      <c r="R950">
        <v>66</v>
      </c>
      <c r="S950" s="26">
        <v>26</v>
      </c>
      <c r="T950" s="26">
        <f>IFERROR(PROPERTIES[[#This Row],[TE_STARTING_KN]]/(PROPERTIES[[#This Row],[WEIGHT]]*9.81),0)</f>
        <v>0.3118066798584877</v>
      </c>
      <c r="U950" s="26">
        <v>0</v>
      </c>
      <c r="V950" s="22">
        <f>ROUND(IF(IFERROR(PROPERTIES[[#This Row],[TE_COEFFICIENT_CALC]],0)=0,PROPERTIES[[#This Row],[TE_COEFFICIENT_MANUAL]],PROPERTIES[[#This Row],[TE_COEFFICIENT_CALC]]),3)</f>
        <v>0.312</v>
      </c>
      <c r="W950" s="33" cm="1">
        <f t="array" ref="W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0" s="32">
        <v>0</v>
      </c>
      <c r="Y950" s="8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8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9" t="b">
        <v>0</v>
      </c>
    </row>
    <row r="951" spans="1:34">
      <c r="A951" s="2" t="s">
        <v>3439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t="s">
        <v>1874</v>
      </c>
      <c r="F951" t="str">
        <f>_xlfn.XLOOKUP(PROPERTIES[[#This Row],[COUNTRY]],COUNTRIES[COUNTRY_DESCRIPTION],COUNTRIES[COUNTRY_LABEL],"")</f>
        <v>PK</v>
      </c>
      <c r="G951" t="str" cm="1">
        <f t="array" ref="G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1" t="s">
        <v>19</v>
      </c>
      <c r="I951">
        <v>0</v>
      </c>
      <c r="J951">
        <v>8</v>
      </c>
      <c r="K951">
        <v>8</v>
      </c>
      <c r="L951" t="str" cm="1">
        <f t="array" ref="L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1">
        <f>_xlfn.XLOOKUP("LOADINGSPEEDDEF_"&amp;PROPERTIES[[#This Row],[LOADINGSPEED]],LOADINGSPEEDDEF[TYPE],LOADINGSPEEDDEF[SPEED])</f>
        <v>20</v>
      </c>
      <c r="N951" t="str" cm="1">
        <f t="array" ref="N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1">
        <f>IF(ISNUMBER(SEARCH("passenger",PROPERTIES[[#This Row],[CARGODEF]])),1,0)</f>
        <v>0</v>
      </c>
      <c r="P951" s="29">
        <v>195</v>
      </c>
      <c r="Q951">
        <v>4563</v>
      </c>
      <c r="R951">
        <v>110</v>
      </c>
      <c r="S951" s="26">
        <v>810</v>
      </c>
      <c r="T951" s="26">
        <f>IFERROR(PROPERTIES[[#This Row],[TE_STARTING_KN]]/(PROPERTIES[[#This Row],[WEIGHT]]*9.81),0)</f>
        <v>0.42342978122794633</v>
      </c>
      <c r="U951" s="26">
        <v>0</v>
      </c>
      <c r="V951" s="22">
        <f>ROUND(IF(IFERROR(PROPERTIES[[#This Row],[TE_COEFFICIENT_CALC]],0)=0,PROPERTIES[[#This Row],[TE_COEFFICIENT_MANUAL]],PROPERTIES[[#This Row],[TE_COEFFICIENT_CALC]]),3)</f>
        <v>0.42299999999999999</v>
      </c>
      <c r="W951" s="33" cm="1">
        <f t="array" ref="W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51" s="32">
        <v>0</v>
      </c>
      <c r="Y951" s="8">
        <v>0</v>
      </c>
      <c r="Z951" t="s">
        <v>882</v>
      </c>
      <c r="AA951" t="s">
        <v>868</v>
      </c>
      <c r="AB951" s="2" t="s">
        <v>886</v>
      </c>
      <c r="AC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1" s="2" t="str">
        <f>SUBSTITUTE(SUBSTITUTE(PROPERTIES[[#This Row],[PURCHASECOST_VALUE]], "PURCHASECOST_", ""), "_VALUE", "")</f>
        <v>DIESELENGINE</v>
      </c>
      <c r="AF951" s="8" t="str" cm="1">
        <f t="array" ref="AF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1" s="2" t="b">
        <v>0</v>
      </c>
      <c r="AH951" s="9" t="b">
        <v>0</v>
      </c>
    </row>
    <row r="952" spans="1:34">
      <c r="A952" s="2" t="s">
        <v>3440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t="s">
        <v>1928</v>
      </c>
      <c r="F952" t="str">
        <f>_xlfn.XLOOKUP(PROPERTIES[[#This Row],[COUNTRY]],COUNTRIES[COUNTRY_DESCRIPTION],COUNTRIES[COUNTRY_LABEL],"")</f>
        <v>US</v>
      </c>
      <c r="G952" t="str" cm="1">
        <f t="array" ref="G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2" t="s">
        <v>19</v>
      </c>
      <c r="I952">
        <v>0</v>
      </c>
      <c r="J952">
        <v>8</v>
      </c>
      <c r="K952">
        <v>8</v>
      </c>
      <c r="L952" t="str" cm="1">
        <f t="array" ref="L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2">
        <f>_xlfn.XLOOKUP("LOADINGSPEEDDEF_"&amp;PROPERTIES[[#This Row],[LOADINGSPEED]],LOADINGSPEEDDEF[TYPE],LOADINGSPEEDDEF[SPEED])</f>
        <v>20</v>
      </c>
      <c r="N952" cm="1">
        <f t="array" ref="N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2">
        <f>IF(ISNUMBER(SEARCH("passenger",PROPERTIES[[#This Row],[CARGODEF]])),1,0)</f>
        <v>0</v>
      </c>
      <c r="P952" s="29">
        <v>160</v>
      </c>
      <c r="Q952">
        <v>3000</v>
      </c>
      <c r="R952">
        <v>134</v>
      </c>
      <c r="S952" s="26">
        <v>410</v>
      </c>
      <c r="T952" s="26">
        <f>IFERROR(PROPERTIES[[#This Row],[TE_STARTING_KN]]/(PROPERTIES[[#This Row],[WEIGHT]]*9.81),0)</f>
        <v>0.26121304791029559</v>
      </c>
      <c r="U952" s="26">
        <v>0</v>
      </c>
      <c r="V952" s="22">
        <f>ROUND(IF(IFERROR(PROPERTIES[[#This Row],[TE_COEFFICIENT_CALC]],0)=0,PROPERTIES[[#This Row],[TE_COEFFICIENT_MANUAL]],PROPERTIES[[#This Row],[TE_COEFFICIENT_CALC]]),3)</f>
        <v>0.26100000000000001</v>
      </c>
      <c r="W952" s="33" cm="1">
        <f t="array" ref="W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2" s="32">
        <v>0</v>
      </c>
      <c r="Y952" s="8">
        <v>0</v>
      </c>
      <c r="Z952" t="s">
        <v>881</v>
      </c>
      <c r="AA952" t="s">
        <v>872</v>
      </c>
      <c r="AB952" s="2" t="s">
        <v>886</v>
      </c>
      <c r="AC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2" s="2" t="str">
        <f>SUBSTITUTE(SUBSTITUTE(PROPERTIES[[#This Row],[PURCHASECOST_VALUE]], "PURCHASECOST_", ""), "_VALUE", "")</f>
        <v>DIESELENGINE</v>
      </c>
      <c r="AF952" s="8" t="str" cm="1">
        <f t="array" ref="AF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2" s="2" t="b">
        <v>0</v>
      </c>
      <c r="AH952" s="9" t="b">
        <v>0</v>
      </c>
    </row>
    <row r="953" spans="1:34">
      <c r="A953" s="2" t="s">
        <v>3442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t="s">
        <v>1928</v>
      </c>
      <c r="F953" t="str">
        <f>_xlfn.XLOOKUP(PROPERTIES[[#This Row],[COUNTRY]],COUNTRIES[COUNTRY_DESCRIPTION],COUNTRIES[COUNTRY_LABEL],"")</f>
        <v>US</v>
      </c>
      <c r="G953" t="str" cm="1">
        <f t="array" ref="G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3" t="s">
        <v>19</v>
      </c>
      <c r="I953">
        <v>0</v>
      </c>
      <c r="J953">
        <v>8</v>
      </c>
      <c r="K953">
        <v>8</v>
      </c>
      <c r="L953" t="str" cm="1">
        <f t="array" ref="L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3">
        <f>_xlfn.XLOOKUP("LOADINGSPEEDDEF_"&amp;PROPERTIES[[#This Row],[LOADINGSPEED]],LOADINGSPEEDDEF[TYPE],LOADINGSPEEDDEF[SPEED])</f>
        <v>20</v>
      </c>
      <c r="N953" t="str" cm="1">
        <f t="array" ref="N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3">
        <f>IF(ISNUMBER(SEARCH("passenger",PROPERTIES[[#This Row],[CARGODEF]])),1,0)</f>
        <v>0</v>
      </c>
      <c r="P953" s="29">
        <v>178</v>
      </c>
      <c r="Q953">
        <v>4000</v>
      </c>
      <c r="R953">
        <v>113</v>
      </c>
      <c r="S953" s="26">
        <v>800</v>
      </c>
      <c r="T953" s="26">
        <f>IFERROR(PROPERTIES[[#This Row],[TE_STARTING_KN]]/(PROPERTIES[[#This Row],[WEIGHT]]*9.81),0)</f>
        <v>0.45814291768317122</v>
      </c>
      <c r="U953" s="26">
        <v>0</v>
      </c>
      <c r="V953" s="22">
        <f>ROUND(IF(IFERROR(PROPERTIES[[#This Row],[TE_COEFFICIENT_CALC]],0)=0,PROPERTIES[[#This Row],[TE_COEFFICIENT_MANUAL]],PROPERTIES[[#This Row],[TE_COEFFICIENT_CALC]]),3)</f>
        <v>0.45800000000000002</v>
      </c>
      <c r="W953" s="33" cm="1">
        <f t="array" ref="W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3" s="32">
        <v>0</v>
      </c>
      <c r="Y953" s="8">
        <v>0</v>
      </c>
      <c r="Z953" t="s">
        <v>881</v>
      </c>
      <c r="AA953" t="s">
        <v>868</v>
      </c>
      <c r="AB953" s="2" t="s">
        <v>886</v>
      </c>
      <c r="AC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3" s="2" t="str">
        <f>SUBSTITUTE(SUBSTITUTE(PROPERTIES[[#This Row],[PURCHASECOST_VALUE]], "PURCHASECOST_", ""), "_VALUE", "")</f>
        <v>DIESELENGINE</v>
      </c>
      <c r="AF953" s="8" t="str" cm="1">
        <f t="array" ref="AF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3" s="2" t="b">
        <v>0</v>
      </c>
      <c r="AH953" s="9" t="b">
        <v>0</v>
      </c>
    </row>
    <row r="954" spans="1:34">
      <c r="A954" s="2" t="s">
        <v>3444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t="s">
        <v>1853</v>
      </c>
      <c r="F954" t="str">
        <f>_xlfn.XLOOKUP(PROPERTIES[[#This Row],[COUNTRY]],COUNTRIES[COUNTRY_DESCRIPTION],COUNTRIES[COUNTRY_LABEL],"")</f>
        <v>MX</v>
      </c>
      <c r="G954" t="str" cm="1">
        <f t="array" ref="G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4" t="s">
        <v>19</v>
      </c>
      <c r="I954">
        <v>0</v>
      </c>
      <c r="J954">
        <v>8</v>
      </c>
      <c r="K954">
        <v>8</v>
      </c>
      <c r="L954" t="str" cm="1">
        <f t="array" ref="L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4">
        <f>_xlfn.XLOOKUP("LOADINGSPEEDDEF_"&amp;PROPERTIES[[#This Row],[LOADINGSPEED]],LOADINGSPEEDDEF[TYPE],LOADINGSPEEDDEF[SPEED])</f>
        <v>20</v>
      </c>
      <c r="N954" cm="1">
        <f t="array" ref="N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4">
        <f>IF(ISNUMBER(SEARCH("passenger",PROPERTIES[[#This Row],[CARGODEF]])),1,0)</f>
        <v>0</v>
      </c>
      <c r="P954" s="29">
        <v>166</v>
      </c>
      <c r="Q954">
        <v>3000</v>
      </c>
      <c r="R954">
        <v>113</v>
      </c>
      <c r="S954" s="26">
        <v>407</v>
      </c>
      <c r="T954" s="26">
        <f>IFERROR(PROPERTIES[[#This Row],[TE_STARTING_KN]]/(PROPERTIES[[#This Row],[WEIGHT]]*9.81),0)</f>
        <v>0.24992938113309507</v>
      </c>
      <c r="U954" s="26">
        <v>0</v>
      </c>
      <c r="V954" s="22">
        <f>ROUND(IF(IFERROR(PROPERTIES[[#This Row],[TE_COEFFICIENT_CALC]],0)=0,PROPERTIES[[#This Row],[TE_COEFFICIENT_MANUAL]],PROPERTIES[[#This Row],[TE_COEFFICIENT_CALC]]),3)</f>
        <v>0.25</v>
      </c>
      <c r="W954" s="33" cm="1">
        <f t="array" ref="W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4" s="32">
        <v>0</v>
      </c>
      <c r="Y954" s="8">
        <v>0</v>
      </c>
      <c r="Z954" t="s">
        <v>881</v>
      </c>
      <c r="AA954" t="s">
        <v>868</v>
      </c>
      <c r="AB954" s="2" t="s">
        <v>886</v>
      </c>
      <c r="AC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4" s="2" t="str">
        <f>SUBSTITUTE(SUBSTITUTE(PROPERTIES[[#This Row],[PURCHASECOST_VALUE]], "PURCHASECOST_", ""), "_VALUE", "")</f>
        <v>DIESELENGINE</v>
      </c>
      <c r="AF954" s="8" t="str" cm="1">
        <f t="array" ref="AF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4" s="2" t="b">
        <v>0</v>
      </c>
      <c r="AH954" s="9" t="b">
        <v>0</v>
      </c>
    </row>
    <row r="955" spans="1:34">
      <c r="A955" s="2" t="s">
        <v>3446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t="s">
        <v>1728</v>
      </c>
      <c r="F955" t="str">
        <f>_xlfn.XLOOKUP(PROPERTIES[[#This Row],[COUNTRY]],COUNTRIES[COUNTRY_DESCRIPTION],COUNTRIES[COUNTRY_LABEL],"")</f>
        <v>BR</v>
      </c>
      <c r="G955" t="str" cm="1">
        <f t="array" ref="G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5" t="s">
        <v>19</v>
      </c>
      <c r="I955">
        <v>0</v>
      </c>
      <c r="J955">
        <v>8</v>
      </c>
      <c r="K955">
        <v>8</v>
      </c>
      <c r="L955" t="str" cm="1">
        <f t="array" ref="L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5">
        <f>_xlfn.XLOOKUP("LOADINGSPEEDDEF_"&amp;PROPERTIES[[#This Row],[LOADINGSPEED]],LOADINGSPEEDDEF[TYPE],LOADINGSPEEDDEF[SPEED])</f>
        <v>20</v>
      </c>
      <c r="N955" t="str" cm="1">
        <f t="array" ref="N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5">
        <f>IF(ISNUMBER(SEARCH("passenger",PROPERTIES[[#This Row],[CARGODEF]])),1,0)</f>
        <v>0</v>
      </c>
      <c r="P955" s="29">
        <v>177.6</v>
      </c>
      <c r="Q955">
        <v>4000</v>
      </c>
      <c r="R955">
        <v>113</v>
      </c>
      <c r="S955" s="26">
        <v>400</v>
      </c>
      <c r="T955" s="26">
        <f>IFERROR(PROPERTIES[[#This Row],[TE_STARTING_KN]]/(PROPERTIES[[#This Row],[WEIGHT]]*9.81),0)</f>
        <v>0.22958738555068831</v>
      </c>
      <c r="U955" s="26">
        <v>0</v>
      </c>
      <c r="V955" s="22">
        <f>ROUND(IF(IFERROR(PROPERTIES[[#This Row],[TE_COEFFICIENT_CALC]],0)=0,PROPERTIES[[#This Row],[TE_COEFFICIENT_MANUAL]],PROPERTIES[[#This Row],[TE_COEFFICIENT_CALC]]),3)</f>
        <v>0.23</v>
      </c>
      <c r="W955" s="33" cm="1">
        <f t="array" ref="W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5" s="32">
        <v>0</v>
      </c>
      <c r="Y955" s="8">
        <v>0</v>
      </c>
      <c r="Z955" t="s">
        <v>881</v>
      </c>
      <c r="AA955" t="s">
        <v>868</v>
      </c>
      <c r="AB955" s="2" t="s">
        <v>886</v>
      </c>
      <c r="AC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5" s="2" t="str">
        <f>SUBSTITUTE(SUBSTITUTE(PROPERTIES[[#This Row],[PURCHASECOST_VALUE]], "PURCHASECOST_", ""), "_VALUE", "")</f>
        <v>DIESELENGINE</v>
      </c>
      <c r="AF955" s="8" t="str" cm="1">
        <f t="array" ref="AF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5" s="2" t="b">
        <v>0</v>
      </c>
      <c r="AH955" s="9" t="b">
        <v>0</v>
      </c>
    </row>
    <row r="956" spans="1:34">
      <c r="A956" s="2" t="s">
        <v>3448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t="s">
        <v>1735</v>
      </c>
      <c r="F956" t="str">
        <f>_xlfn.XLOOKUP(PROPERTIES[[#This Row],[COUNTRY]],COUNTRIES[COUNTRY_DESCRIPTION],COUNTRIES[COUNTRY_LABEL],"")</f>
        <v>CA</v>
      </c>
      <c r="G956" t="str" cm="1">
        <f t="array" ref="G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6" t="s">
        <v>19</v>
      </c>
      <c r="I956">
        <v>0</v>
      </c>
      <c r="J956">
        <v>8</v>
      </c>
      <c r="K956">
        <v>8</v>
      </c>
      <c r="L956" t="str" cm="1">
        <f t="array" ref="L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6">
        <f>_xlfn.XLOOKUP("LOADINGSPEEDDEF_"&amp;PROPERTIES[[#This Row],[LOADINGSPEED]],LOADINGSPEEDDEF[TYPE],LOADINGSPEEDDEF[SPEED])</f>
        <v>20</v>
      </c>
      <c r="N956" t="str" cm="1">
        <f t="array" ref="N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6">
        <f>IF(ISNUMBER(SEARCH("passenger",PROPERTIES[[#This Row],[CARGODEF]])),1,0)</f>
        <v>0</v>
      </c>
      <c r="P956" s="29">
        <v>193</v>
      </c>
      <c r="Q956">
        <v>4400</v>
      </c>
      <c r="R956">
        <v>119</v>
      </c>
      <c r="S956" s="26">
        <v>640</v>
      </c>
      <c r="T956" s="26">
        <f>IFERROR(PROPERTIES[[#This Row],[TE_STARTING_KN]]/(PROPERTIES[[#This Row],[WEIGHT]]*9.81),0)</f>
        <v>0.3380287641351481</v>
      </c>
      <c r="U956" s="26">
        <v>0</v>
      </c>
      <c r="V956" s="22">
        <f>ROUND(IF(IFERROR(PROPERTIES[[#This Row],[TE_COEFFICIENT_CALC]],0)=0,PROPERTIES[[#This Row],[TE_COEFFICIENT_MANUAL]],PROPERTIES[[#This Row],[TE_COEFFICIENT_CALC]]),3)</f>
        <v>0.33800000000000002</v>
      </c>
      <c r="W956" s="33" cm="1">
        <f t="array" ref="W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6" s="32">
        <v>0</v>
      </c>
      <c r="Y956" s="8">
        <v>0</v>
      </c>
      <c r="Z956" t="s">
        <v>881</v>
      </c>
      <c r="AA956" t="s">
        <v>868</v>
      </c>
      <c r="AB956" s="2" t="s">
        <v>886</v>
      </c>
      <c r="AC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6" s="2" t="str">
        <f>SUBSTITUTE(SUBSTITUTE(PROPERTIES[[#This Row],[PURCHASECOST_VALUE]], "PURCHASECOST_", ""), "_VALUE", "")</f>
        <v>DIESELENGINE</v>
      </c>
      <c r="AF956" s="8" t="str" cm="1">
        <f t="array" ref="AF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6" s="2" t="b">
        <v>0</v>
      </c>
      <c r="AH956" s="9" t="b">
        <v>0</v>
      </c>
    </row>
    <row r="957" spans="1:34">
      <c r="A957" s="2" t="s">
        <v>3450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t="s">
        <v>1928</v>
      </c>
      <c r="F957" t="str">
        <f>_xlfn.XLOOKUP(PROPERTIES[[#This Row],[COUNTRY]],COUNTRIES[COUNTRY_DESCRIPTION],COUNTRIES[COUNTRY_LABEL],"")</f>
        <v>US</v>
      </c>
      <c r="G957" t="str" cm="1">
        <f t="array" ref="G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7" t="s">
        <v>19</v>
      </c>
      <c r="I957">
        <v>0</v>
      </c>
      <c r="J957">
        <v>7</v>
      </c>
      <c r="K957">
        <v>7</v>
      </c>
      <c r="L957" t="str" cm="1">
        <f t="array" ref="L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7">
        <f>_xlfn.XLOOKUP("LOADINGSPEEDDEF_"&amp;PROPERTIES[[#This Row],[LOADINGSPEED]],LOADINGSPEEDDEF[TYPE],LOADINGSPEEDDEF[SPEED])</f>
        <v>20</v>
      </c>
      <c r="N957" cm="1">
        <f t="array" ref="N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7">
        <f>IF(ISNUMBER(SEARCH("passenger",PROPERTIES[[#This Row],[CARGODEF]])),1,0)</f>
        <v>0</v>
      </c>
      <c r="P957" s="29">
        <v>119</v>
      </c>
      <c r="Q957">
        <v>3000</v>
      </c>
      <c r="R957">
        <f>INT(75*1.62)</f>
        <v>121</v>
      </c>
      <c r="S957" s="26">
        <v>278</v>
      </c>
      <c r="T957" s="26">
        <f>IFERROR(PROPERTIES[[#This Row],[TE_STARTING_KN]]/(PROPERTIES[[#This Row],[WEIGHT]]*9.81),0)</f>
        <v>0.23813806868313073</v>
      </c>
      <c r="U957" s="26">
        <v>0</v>
      </c>
      <c r="V957" s="22">
        <f>ROUND(IF(IFERROR(PROPERTIES[[#This Row],[TE_COEFFICIENT_CALC]],0)=0,PROPERTIES[[#This Row],[TE_COEFFICIENT_MANUAL]],PROPERTIES[[#This Row],[TE_COEFFICIENT_CALC]]),3)</f>
        <v>0.23799999999999999</v>
      </c>
      <c r="W957" s="33" cm="1">
        <f t="array" ref="W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7" s="32">
        <v>0</v>
      </c>
      <c r="Y957" s="8">
        <v>0</v>
      </c>
      <c r="Z957" t="s">
        <v>881</v>
      </c>
      <c r="AA957" t="s">
        <v>868</v>
      </c>
      <c r="AB957" s="2" t="s">
        <v>886</v>
      </c>
      <c r="AC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7" s="2" t="str">
        <f>SUBSTITUTE(SUBSTITUTE(PROPERTIES[[#This Row],[PURCHASECOST_VALUE]], "PURCHASECOST_", ""), "_VALUE", "")</f>
        <v>DIESELENGINE</v>
      </c>
      <c r="AF957" s="8" t="str" cm="1">
        <f t="array" ref="AF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7" s="2" t="b">
        <v>0</v>
      </c>
      <c r="AH957" s="9" t="b">
        <v>0</v>
      </c>
    </row>
    <row r="958" spans="1:34">
      <c r="A958" s="2" t="s">
        <v>3453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t="s">
        <v>1762</v>
      </c>
      <c r="F958" t="str">
        <f>_xlfn.XLOOKUP(PROPERTIES[[#This Row],[COUNTRY]],COUNTRIES[COUNTRY_DESCRIPTION],COUNTRIES[COUNTRY_LABEL],"")</f>
        <v>EG</v>
      </c>
      <c r="G958" t="str" cm="1">
        <f t="array" ref="G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8" t="s">
        <v>19</v>
      </c>
      <c r="I958">
        <v>0</v>
      </c>
      <c r="J958">
        <v>4</v>
      </c>
      <c r="K958">
        <v>7</v>
      </c>
      <c r="L958" t="str" cm="1">
        <f t="array" ref="L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8">
        <f>_xlfn.XLOOKUP("LOADINGSPEEDDEF_"&amp;PROPERTIES[[#This Row],[LOADINGSPEED]],LOADINGSPEEDDEF[TYPE],LOADINGSPEEDDEF[SPEED])</f>
        <v>20</v>
      </c>
      <c r="N958" cm="1">
        <f t="array" ref="N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8">
        <f>IF(ISNUMBER(SEARCH("passenger",PROPERTIES[[#This Row],[CARGODEF]])),1,0)</f>
        <v>0</v>
      </c>
      <c r="P958" s="29">
        <v>64.5</v>
      </c>
      <c r="Q958">
        <v>550</v>
      </c>
      <c r="R958">
        <v>95</v>
      </c>
      <c r="S958" s="26">
        <v>47.2</v>
      </c>
      <c r="T958" s="25">
        <f>IFERROR(PROPERTIES[[#This Row],[TE_STARTING_KN]]/(PROPERTIES[[#This Row],[WEIGHT]]*9.81),0)</f>
        <v>7.4595611186180855E-2</v>
      </c>
      <c r="U958" s="25">
        <v>0</v>
      </c>
      <c r="V958" s="22">
        <f>ROUND(IF(IFERROR(PROPERTIES[[#This Row],[TE_COEFFICIENT_CALC]],0)=0,PROPERTIES[[#This Row],[TE_COEFFICIENT_MANUAL]],PROPERTIES[[#This Row],[TE_COEFFICIENT_CALC]]),3)</f>
        <v>7.4999999999999997E-2</v>
      </c>
      <c r="W958" s="10" cm="1">
        <f t="array" ref="W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8" s="32">
        <v>0</v>
      </c>
      <c r="Y958" s="8">
        <v>3</v>
      </c>
      <c r="Z958" t="s">
        <v>872</v>
      </c>
      <c r="AA958" t="s">
        <v>868</v>
      </c>
      <c r="AB958" s="2" t="s">
        <v>886</v>
      </c>
      <c r="AC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8" s="2" t="str">
        <f>SUBSTITUTE(SUBSTITUTE(PROPERTIES[[#This Row],[PURCHASECOST_VALUE]], "PURCHASECOST_", ""), "_VALUE", "")</f>
        <v>STEAMENGINE</v>
      </c>
      <c r="AF958" s="8" t="str" cm="1">
        <f t="array" ref="AF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8" s="2" t="b">
        <v>0</v>
      </c>
      <c r="AH958" s="9" t="b">
        <v>0</v>
      </c>
    </row>
    <row r="959" spans="1:34">
      <c r="A959" t="s">
        <v>3454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t="s">
        <v>1762</v>
      </c>
      <c r="F959" t="str">
        <f>_xlfn.XLOOKUP(PROPERTIES[[#This Row],[COUNTRY]],COUNTRIES[COUNTRY_DESCRIPTION],COUNTRIES[COUNTRY_LABEL],"")</f>
        <v>EG</v>
      </c>
      <c r="G959" t="str" cm="1">
        <f t="array" ref="G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9" t="s">
        <v>19</v>
      </c>
      <c r="I959">
        <v>0</v>
      </c>
      <c r="J959">
        <v>5</v>
      </c>
      <c r="K959">
        <v>8</v>
      </c>
      <c r="L959" t="str" cm="1">
        <f t="array" ref="L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9">
        <f>_xlfn.XLOOKUP("LOADINGSPEEDDEF_"&amp;PROPERTIES[[#This Row],[LOADINGSPEED]],LOADINGSPEEDDEF[TYPE],LOADINGSPEEDDEF[SPEED])</f>
        <v>20</v>
      </c>
      <c r="N959" cm="1">
        <f t="array" ref="N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9">
        <f>IF(ISNUMBER(SEARCH("passenger",PROPERTIES[[#This Row],[CARGODEF]])),1,0)</f>
        <v>0</v>
      </c>
      <c r="P959" s="29">
        <v>64.2</v>
      </c>
      <c r="Q959">
        <v>650</v>
      </c>
      <c r="R959">
        <v>75</v>
      </c>
      <c r="S959" s="26">
        <v>80</v>
      </c>
      <c r="T959" s="25">
        <f>IFERROR(PROPERTIES[[#This Row],[TE_STARTING_KN]]/(PROPERTIES[[#This Row],[WEIGHT]]*9.81),0)</f>
        <v>0.12702404882804436</v>
      </c>
      <c r="U959" s="25">
        <v>0</v>
      </c>
      <c r="V959" s="22">
        <f>ROUND(IF(IFERROR(PROPERTIES[[#This Row],[TE_COEFFICIENT_CALC]],0)=0,PROPERTIES[[#This Row],[TE_COEFFICIENT_MANUAL]],PROPERTIES[[#This Row],[TE_COEFFICIENT_CALC]]),3)</f>
        <v>0.127</v>
      </c>
      <c r="W959" s="10" cm="1">
        <f t="array" ref="W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9" s="32">
        <v>0</v>
      </c>
      <c r="Y959" s="8">
        <v>3</v>
      </c>
      <c r="Z959" t="s">
        <v>872</v>
      </c>
      <c r="AA959" t="s">
        <v>868</v>
      </c>
      <c r="AB959" s="2" t="s">
        <v>886</v>
      </c>
      <c r="AC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9" s="2" t="str">
        <f>SUBSTITUTE(SUBSTITUTE(PROPERTIES[[#This Row],[PURCHASECOST_VALUE]], "PURCHASECOST_", ""), "_VALUE", "")</f>
        <v>STEAMENGINE</v>
      </c>
      <c r="AF959" s="8" t="str" cm="1">
        <f t="array" ref="AF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9" s="2" t="b">
        <v>0</v>
      </c>
      <c r="AH959" s="9" t="b">
        <v>0</v>
      </c>
    </row>
    <row r="960" spans="1:34">
      <c r="A960" t="s">
        <v>3459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t="s">
        <v>1762</v>
      </c>
      <c r="F960" t="str">
        <f>_xlfn.XLOOKUP(PROPERTIES[[#This Row],[COUNTRY]],COUNTRIES[COUNTRY_DESCRIPTION],COUNTRIES[COUNTRY_LABEL],"")</f>
        <v>EG</v>
      </c>
      <c r="G960" t="str" cm="1">
        <f t="array" ref="G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0" t="s">
        <v>19</v>
      </c>
      <c r="I960">
        <v>0</v>
      </c>
      <c r="J960">
        <v>5</v>
      </c>
      <c r="K960">
        <v>8</v>
      </c>
      <c r="L960" t="str" cm="1">
        <f t="array" ref="L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0">
        <f>_xlfn.XLOOKUP("LOADINGSPEEDDEF_"&amp;PROPERTIES[[#This Row],[LOADINGSPEED]],LOADINGSPEEDDEF[TYPE],LOADINGSPEEDDEF[SPEED])</f>
        <v>20</v>
      </c>
      <c r="N960" cm="1">
        <f t="array" ref="N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0">
        <f>IF(ISNUMBER(SEARCH("passenger",PROPERTIES[[#This Row],[CARGODEF]])),1,0)</f>
        <v>0</v>
      </c>
      <c r="P960" s="29">
        <v>65.3</v>
      </c>
      <c r="Q960">
        <v>650</v>
      </c>
      <c r="R960">
        <v>60</v>
      </c>
      <c r="S960" s="26">
        <v>66.13</v>
      </c>
      <c r="T960" s="25">
        <f>IFERROR(PROPERTIES[[#This Row],[TE_STARTING_KN]]/(PROPERTIES[[#This Row],[WEIGHT]]*9.81),0)</f>
        <v>0.10323247366112337</v>
      </c>
      <c r="U960" s="25">
        <v>0</v>
      </c>
      <c r="V960" s="22">
        <f>ROUND(IF(IFERROR(PROPERTIES[[#This Row],[TE_COEFFICIENT_CALC]],0)=0,PROPERTIES[[#This Row],[TE_COEFFICIENT_MANUAL]],PROPERTIES[[#This Row],[TE_COEFFICIENT_CALC]]),3)</f>
        <v>0.10299999999999999</v>
      </c>
      <c r="W960" s="10" cm="1">
        <f t="array" ref="W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60" s="32">
        <v>0</v>
      </c>
      <c r="Y960" s="8">
        <v>3</v>
      </c>
      <c r="Z960" t="s">
        <v>872</v>
      </c>
      <c r="AA960" s="9" t="s">
        <v>868</v>
      </c>
      <c r="AB960" s="9" t="s">
        <v>886</v>
      </c>
      <c r="AC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0" s="2" t="str">
        <f>SUBSTITUTE(SUBSTITUTE(PROPERTIES[[#This Row],[PURCHASECOST_VALUE]], "PURCHASECOST_", ""), "_VALUE", "")</f>
        <v>STEAMENGINE</v>
      </c>
      <c r="AF960" s="8" t="str" cm="1">
        <f t="array" ref="AF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0" s="9" t="b">
        <v>0</v>
      </c>
      <c r="AH960" s="9" t="b">
        <v>0</v>
      </c>
    </row>
    <row r="961" spans="1:34">
      <c r="A961" s="2" t="s">
        <v>3461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t="s">
        <v>2200</v>
      </c>
      <c r="F961" t="str">
        <f>_xlfn.XLOOKUP(PROPERTIES[[#This Row],[COUNTRY]],COUNTRIES[COUNTRY_DESCRIPTION],COUNTRIES[COUNTRY_LABEL],"")</f>
        <v>WRLD</v>
      </c>
      <c r="G961" t="str" cm="1">
        <f t="array" ref="G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1" t="s">
        <v>19</v>
      </c>
      <c r="I961">
        <v>0</v>
      </c>
      <c r="J961">
        <v>7</v>
      </c>
      <c r="K961">
        <v>7</v>
      </c>
      <c r="L961" t="str" cm="1">
        <f t="array" ref="L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1">
        <f>_xlfn.XLOOKUP("LOADINGSPEEDDEF_"&amp;PROPERTIES[[#This Row],[LOADINGSPEED]],LOADINGSPEEDDEF[TYPE],LOADINGSPEEDDEF[SPEED])</f>
        <v>20</v>
      </c>
      <c r="N961" t="str" cm="1">
        <f t="array" ref="N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1">
        <f>IF(ISNUMBER(SEARCH("passenger",PROPERTIES[[#This Row],[CARGODEF]])),1,0)</f>
        <v>0</v>
      </c>
      <c r="P961" s="29">
        <v>130</v>
      </c>
      <c r="Q961">
        <v>15000</v>
      </c>
      <c r="R961">
        <v>480</v>
      </c>
      <c r="S961" s="26">
        <v>800</v>
      </c>
      <c r="T961" s="26">
        <f>IFERROR(PROPERTIES[[#This Row],[TE_STARTING_KN]]/(PROPERTIES[[#This Row],[WEIGHT]]*9.81),0)</f>
        <v>0.62730337959695759</v>
      </c>
      <c r="U961" s="26">
        <v>0</v>
      </c>
      <c r="V961" s="22">
        <f>ROUND(IF(IFERROR(PROPERTIES[[#This Row],[TE_COEFFICIENT_CALC]],0)=0,PROPERTIES[[#This Row],[TE_COEFFICIENT_MANUAL]],PROPERTIES[[#This Row],[TE_COEFFICIENT_CALC]]),3)</f>
        <v>0.627</v>
      </c>
      <c r="W961" s="33" cm="1">
        <f t="array" ref="W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1" s="32">
        <v>0</v>
      </c>
      <c r="Y961" s="8">
        <v>0</v>
      </c>
      <c r="Z961" t="s">
        <v>882</v>
      </c>
      <c r="AA961" t="s">
        <v>868</v>
      </c>
      <c r="AB961" s="9" t="s">
        <v>887</v>
      </c>
      <c r="AC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961" s="2" t="str">
        <f>SUBSTITUTE(SUBSTITUTE(PROPERTIES[[#This Row],[PURCHASECOST_VALUE]], "PURCHASECOST_", ""), "_VALUE", "")</f>
        <v>MAGLEVENGINE</v>
      </c>
      <c r="AF961" s="8" t="str" cm="1">
        <f t="array" ref="AF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961" s="9" t="b">
        <v>0</v>
      </c>
      <c r="AH961" s="8" t="b">
        <v>0</v>
      </c>
    </row>
    <row r="962" spans="1:34">
      <c r="A962" s="2" t="s">
        <v>3464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t="s">
        <v>2200</v>
      </c>
      <c r="F962" t="str">
        <f>_xlfn.XLOOKUP(PROPERTIES[[#This Row],[COUNTRY]],COUNTRIES[COUNTRY_DESCRIPTION],COUNTRIES[COUNTRY_LABEL],"")</f>
        <v>WRLD</v>
      </c>
      <c r="G962" t="str" cm="1">
        <f t="array" ref="G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2" t="s">
        <v>320</v>
      </c>
      <c r="I962">
        <v>150</v>
      </c>
      <c r="J962">
        <v>7</v>
      </c>
      <c r="K962">
        <v>7</v>
      </c>
      <c r="L962" t="str" cm="1">
        <f t="array" ref="L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2">
        <f>_xlfn.XLOOKUP("LOADINGSPEEDDEF_"&amp;PROPERTIES[[#This Row],[LOADINGSPEED]],LOADINGSPEEDDEF[TYPE],LOADINGSPEEDDEF[SPEED])</f>
        <v>16</v>
      </c>
      <c r="N962" t="str" cm="1">
        <f t="array" ref="N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2">
        <f>IF(ISNUMBER(SEARCH("passenger",PROPERTIES[[#This Row],[CARGODEF]])),1,0)</f>
        <v>1</v>
      </c>
      <c r="P962" s="29">
        <v>150</v>
      </c>
      <c r="Q962">
        <v>20000</v>
      </c>
      <c r="R962">
        <v>643</v>
      </c>
      <c r="S962" s="26">
        <v>1000</v>
      </c>
      <c r="T962" s="26">
        <f>IFERROR(PROPERTIES[[#This Row],[TE_STARTING_KN]]/(PROPERTIES[[#This Row],[WEIGHT]]*9.81),0)</f>
        <v>0.67957866123003741</v>
      </c>
      <c r="U962" s="26">
        <v>0</v>
      </c>
      <c r="V962" s="22">
        <f>ROUND(IF(IFERROR(PROPERTIES[[#This Row],[TE_COEFFICIENT_CALC]],0)=0,PROPERTIES[[#This Row],[TE_COEFFICIENT_MANUAL]],PROPERTIES[[#This Row],[TE_COEFFICIENT_CALC]]),3)</f>
        <v>0.68</v>
      </c>
      <c r="W962" s="33" cm="1">
        <f t="array" ref="W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2" s="32">
        <v>150</v>
      </c>
      <c r="Y962" s="8">
        <v>7</v>
      </c>
      <c r="Z962" t="s">
        <v>882</v>
      </c>
      <c r="AA962" t="s">
        <v>868</v>
      </c>
      <c r="AB962" s="9" t="s">
        <v>887</v>
      </c>
      <c r="AC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962" s="2" t="str">
        <f>SUBSTITUTE(SUBSTITUTE(PROPERTIES[[#This Row],[PURCHASECOST_VALUE]], "PURCHASECOST_", ""), "_VALUE", "")</f>
        <v>MMU</v>
      </c>
      <c r="AF962" s="8" t="str" cm="1">
        <f t="array" ref="AF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62" s="9" t="b">
        <v>0</v>
      </c>
      <c r="AH962" s="8" t="b">
        <v>0</v>
      </c>
    </row>
    <row r="963" spans="1:34">
      <c r="A963" s="2" t="s">
        <v>3468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t="s">
        <v>2200</v>
      </c>
      <c r="F963" t="str">
        <f>_xlfn.XLOOKUP(PROPERTIES[[#This Row],[COUNTRY]],COUNTRIES[COUNTRY_DESCRIPTION],COUNTRIES[COUNTRY_LABEL],"")</f>
        <v>WRLD</v>
      </c>
      <c r="G963" t="str" cm="1">
        <f t="array" ref="G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3" t="s">
        <v>320</v>
      </c>
      <c r="I963">
        <v>150</v>
      </c>
      <c r="J963">
        <v>7</v>
      </c>
      <c r="K963">
        <v>7</v>
      </c>
      <c r="L963" t="str" cm="1">
        <f t="array" ref="L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3">
        <f>_xlfn.XLOOKUP("LOADINGSPEEDDEF_"&amp;PROPERTIES[[#This Row],[LOADINGSPEED]],LOADINGSPEEDDEF[TYPE],LOADINGSPEEDDEF[SPEED])</f>
        <v>16</v>
      </c>
      <c r="N963" t="str" cm="1">
        <f t="array" ref="N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3">
        <f>IF(ISNUMBER(SEARCH("passenger",PROPERTIES[[#This Row],[CARGODEF]])),1,0)</f>
        <v>1</v>
      </c>
      <c r="P963" s="29">
        <v>35</v>
      </c>
      <c r="Q963">
        <v>0</v>
      </c>
      <c r="R963">
        <v>643</v>
      </c>
      <c r="S963" s="26">
        <v>0</v>
      </c>
      <c r="T963" s="26">
        <f>IFERROR(PROPERTIES[[#This Row],[TE_STARTING_KN]]/(PROPERTIES[[#This Row],[WEIGHT]]*9.81),0)</f>
        <v>0</v>
      </c>
      <c r="U963" s="26">
        <v>0.3</v>
      </c>
      <c r="V963" s="22">
        <f>ROUND(IF(IFERROR(PROPERTIES[[#This Row],[TE_COEFFICIENT_CALC]],0)=0,PROPERTIES[[#This Row],[TE_COEFFICIENT_MANUAL]],PROPERTIES[[#This Row],[TE_COEFFICIENT_CALC]]),3)</f>
        <v>0.3</v>
      </c>
      <c r="W963" s="33" cm="1">
        <f t="array" ref="W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3" s="32">
        <v>150</v>
      </c>
      <c r="Y963" s="8">
        <v>7</v>
      </c>
      <c r="Z963" t="s">
        <v>882</v>
      </c>
      <c r="AA963" t="s">
        <v>868</v>
      </c>
      <c r="AB963" s="9" t="s">
        <v>887</v>
      </c>
      <c r="AC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3" s="2" t="str">
        <f>SUBSTITUTE(SUBSTITUTE(PROPERTIES[[#This Row],[PURCHASECOST_VALUE]], "PURCHASECOST_", ""), "_VALUE", "")</f>
        <v>COACH</v>
      </c>
      <c r="AF963" s="8" t="str" cm="1">
        <f t="array" ref="AF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963" s="9" t="b">
        <v>0</v>
      </c>
      <c r="AH963" s="8" t="b">
        <v>0</v>
      </c>
    </row>
    <row r="964" spans="1:34">
      <c r="A964" s="2" t="s">
        <v>3469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t="s">
        <v>2200</v>
      </c>
      <c r="F964" t="str">
        <f>_xlfn.XLOOKUP(PROPERTIES[[#This Row],[COUNTRY]],COUNTRIES[COUNTRY_DESCRIPTION],COUNTRIES[COUNTRY_LABEL],"")</f>
        <v>WRLD</v>
      </c>
      <c r="G964" t="str" cm="1">
        <f t="array" ref="G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4" t="s">
        <v>665</v>
      </c>
      <c r="I964">
        <v>150</v>
      </c>
      <c r="J964">
        <v>7</v>
      </c>
      <c r="K964">
        <v>7</v>
      </c>
      <c r="L964" t="str" cm="1">
        <f t="array" ref="L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64">
        <f>_xlfn.XLOOKUP("LOADINGSPEEDDEF_"&amp;PROPERTIES[[#This Row],[LOADINGSPEED]],LOADINGSPEEDDEF[TYPE],LOADINGSPEEDDEF[SPEED])</f>
        <v>15</v>
      </c>
      <c r="N964" t="str" cm="1">
        <f t="array" ref="N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4">
        <f>IF(ISNUMBER(SEARCH("passenger",PROPERTIES[[#This Row],[CARGODEF]])),1,0)</f>
        <v>0</v>
      </c>
      <c r="P964" s="29">
        <v>35</v>
      </c>
      <c r="Q964">
        <v>0</v>
      </c>
      <c r="R964">
        <v>643</v>
      </c>
      <c r="S964" s="26">
        <v>0</v>
      </c>
      <c r="T964" s="26">
        <f>IFERROR(PROPERTIES[[#This Row],[TE_STARTING_KN]]/(PROPERTIES[[#This Row],[WEIGHT]]*9.81),0)</f>
        <v>0</v>
      </c>
      <c r="U964" s="26">
        <v>0.3</v>
      </c>
      <c r="V964" s="22">
        <f>ROUND(IF(IFERROR(PROPERTIES[[#This Row],[TE_COEFFICIENT_CALC]],0)=0,PROPERTIES[[#This Row],[TE_COEFFICIENT_MANUAL]],PROPERTIES[[#This Row],[TE_COEFFICIENT_CALC]]),3)</f>
        <v>0.3</v>
      </c>
      <c r="W964" s="33" cm="1">
        <f t="array" ref="W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4" s="32">
        <v>150</v>
      </c>
      <c r="Y964" s="8">
        <v>7</v>
      </c>
      <c r="Z964" t="s">
        <v>882</v>
      </c>
      <c r="AA964" t="s">
        <v>868</v>
      </c>
      <c r="AB964" s="9" t="s">
        <v>887</v>
      </c>
      <c r="AC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4" s="2" t="str">
        <f>SUBSTITUTE(SUBSTITUTE(PROPERTIES[[#This Row],[PURCHASECOST_VALUE]], "PURCHASECOST_", ""), "_VALUE", "")</f>
        <v>COACH</v>
      </c>
      <c r="AF964" s="8" t="str" cm="1">
        <f t="array" ref="AF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64" s="9" t="b">
        <v>0</v>
      </c>
      <c r="AH964" s="8" t="b">
        <v>0</v>
      </c>
    </row>
    <row r="965" spans="1:34">
      <c r="A965" s="2" t="s">
        <v>3482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t="s">
        <v>1719</v>
      </c>
      <c r="F965" t="str">
        <f>_xlfn.XLOOKUP(PROPERTIES[[#This Row],[COUNTRY]],COUNTRIES[COUNTRY_DESCRIPTION],COUNTRIES[COUNTRY_LABEL],"")</f>
        <v>BG</v>
      </c>
      <c r="G965" t="str" cm="1">
        <f t="array" ref="G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5" t="s">
        <v>19</v>
      </c>
      <c r="I965">
        <v>0</v>
      </c>
      <c r="J965">
        <v>5</v>
      </c>
      <c r="K965">
        <v>8</v>
      </c>
      <c r="L965" t="str" cm="1">
        <f t="array" ref="L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5">
        <f>_xlfn.XLOOKUP("LOADINGSPEEDDEF_"&amp;PROPERTIES[[#This Row],[LOADINGSPEED]],LOADINGSPEEDDEF[TYPE],LOADINGSPEEDDEF[SPEED])</f>
        <v>20</v>
      </c>
      <c r="N965" cm="1">
        <f t="array" ref="N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5">
        <f>IF(ISNUMBER(SEARCH("passenger",PROPERTIES[[#This Row],[CARGODEF]])),1,0)</f>
        <v>0</v>
      </c>
      <c r="P965" s="29">
        <v>57.2</v>
      </c>
      <c r="Q965">
        <v>650</v>
      </c>
      <c r="R965">
        <v>50</v>
      </c>
      <c r="S965" s="26">
        <v>57.45</v>
      </c>
      <c r="T965" s="25">
        <f>IFERROR(PROPERTIES[[#This Row],[TE_STARTING_KN]]/(PROPERTIES[[#This Row],[WEIGHT]]*9.81),0)</f>
        <v>0.10238232715296935</v>
      </c>
      <c r="U965" s="25">
        <v>0</v>
      </c>
      <c r="V965" s="22">
        <f>ROUND(IF(IFERROR(PROPERTIES[[#This Row],[TE_COEFFICIENT_CALC]],0)=0,PROPERTIES[[#This Row],[TE_COEFFICIENT_MANUAL]],PROPERTIES[[#This Row],[TE_COEFFICIENT_CALC]]),3)</f>
        <v>0.10199999999999999</v>
      </c>
      <c r="W965" s="10" cm="1">
        <f t="array" ref="W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65" s="32">
        <v>0</v>
      </c>
      <c r="Y965" s="8">
        <v>3</v>
      </c>
      <c r="Z965" t="s">
        <v>875</v>
      </c>
      <c r="AA965" t="s">
        <v>868</v>
      </c>
      <c r="AB965" s="2" t="s">
        <v>886</v>
      </c>
      <c r="AC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5" s="2" t="str">
        <f>SUBSTITUTE(SUBSTITUTE(PROPERTIES[[#This Row],[PURCHASECOST_VALUE]], "PURCHASECOST_", ""), "_VALUE", "")</f>
        <v>STEAMENGINE</v>
      </c>
      <c r="AF965" s="8" t="str" cm="1">
        <f t="array" ref="AF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5" s="2" t="b">
        <v>0</v>
      </c>
      <c r="AH965" s="9" t="b">
        <v>0</v>
      </c>
    </row>
    <row r="966" spans="1:34">
      <c r="A966" s="2" t="s">
        <v>3485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t="s">
        <v>1796</v>
      </c>
      <c r="F966" t="str">
        <f>_xlfn.XLOOKUP(PROPERTIES[[#This Row],[COUNTRY]],COUNTRIES[COUNTRY_DESCRIPTION],COUNTRIES[COUNTRY_LABEL],"")</f>
        <v>HU</v>
      </c>
      <c r="G966" t="str" cm="1">
        <f t="array" ref="G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6" t="s">
        <v>19</v>
      </c>
      <c r="I966">
        <v>0</v>
      </c>
      <c r="J966">
        <v>8</v>
      </c>
      <c r="K966">
        <v>4</v>
      </c>
      <c r="L966" t="str" cm="1">
        <f t="array" ref="L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6">
        <f>_xlfn.XLOOKUP("LOADINGSPEEDDEF_"&amp;PROPERTIES[[#This Row],[LOADINGSPEED]],LOADINGSPEEDDEF[TYPE],LOADINGSPEEDDEF[SPEED])</f>
        <v>20</v>
      </c>
      <c r="N966" cm="1">
        <f t="array" ref="N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6">
        <f>IF(ISNUMBER(SEARCH("passenger",PROPERTIES[[#This Row],[CARGODEF]])),1,0)</f>
        <v>0</v>
      </c>
      <c r="P966" s="29">
        <v>74.3</v>
      </c>
      <c r="Q966">
        <v>910</v>
      </c>
      <c r="R966">
        <v>100</v>
      </c>
      <c r="S966" s="26">
        <v>76.709999999999994</v>
      </c>
      <c r="T966" s="25">
        <f>IFERROR(PROPERTIES[[#This Row],[TE_STARTING_KN]]/(PROPERTIES[[#This Row],[WEIGHT]]*9.81),0)</f>
        <v>0.1052432283370582</v>
      </c>
      <c r="U966" s="25">
        <v>0</v>
      </c>
      <c r="V966" s="22">
        <f>ROUND(IF(IFERROR(PROPERTIES[[#This Row],[TE_COEFFICIENT_CALC]],0)=0,PROPERTIES[[#This Row],[TE_COEFFICIENT_MANUAL]],PROPERTIES[[#This Row],[TE_COEFFICIENT_CALC]]),3)</f>
        <v>0.105</v>
      </c>
      <c r="W966" s="10" cm="1">
        <f t="array" ref="W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966" s="32">
        <v>0</v>
      </c>
      <c r="Y966" s="8">
        <v>4</v>
      </c>
      <c r="Z966" t="s">
        <v>875</v>
      </c>
      <c r="AA966" t="s">
        <v>868</v>
      </c>
      <c r="AB966" s="2" t="s">
        <v>886</v>
      </c>
      <c r="AC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6" s="2" t="str">
        <f>SUBSTITUTE(SUBSTITUTE(PROPERTIES[[#This Row],[PURCHASECOST_VALUE]], "PURCHASECOST_", ""), "_VALUE", "")</f>
        <v>STEAMENGINE</v>
      </c>
      <c r="AF966" s="8" t="str" cm="1">
        <f t="array" ref="AF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6" s="2" t="b">
        <v>0</v>
      </c>
      <c r="AH966" s="9" t="b">
        <v>0</v>
      </c>
    </row>
    <row r="967" spans="1:34">
      <c r="A967" s="2" t="s">
        <v>3488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t="s">
        <v>1796</v>
      </c>
      <c r="F967" t="str">
        <f>_xlfn.XLOOKUP(PROPERTIES[[#This Row],[COUNTRY]],COUNTRIES[COUNTRY_DESCRIPTION],COUNTRIES[COUNTRY_LABEL],"")</f>
        <v>HU</v>
      </c>
      <c r="G967" t="str" cm="1">
        <f t="array" ref="G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7" t="s">
        <v>19</v>
      </c>
      <c r="I967">
        <v>0</v>
      </c>
      <c r="J967">
        <v>8</v>
      </c>
      <c r="K967">
        <v>13</v>
      </c>
      <c r="L967" t="str" cm="1">
        <f t="array" ref="L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7">
        <f>_xlfn.XLOOKUP("LOADINGSPEEDDEF_"&amp;PROPERTIES[[#This Row],[LOADINGSPEED]],LOADINGSPEEDDEF[TYPE],LOADINGSPEEDDEF[SPEED])</f>
        <v>20</v>
      </c>
      <c r="N967" cm="1">
        <f t="array" ref="N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7">
        <f>IF(ISNUMBER(SEARCH("passenger",PROPERTIES[[#This Row],[CARGODEF]])),1,0)</f>
        <v>0</v>
      </c>
      <c r="P967" s="29">
        <v>106.5</v>
      </c>
      <c r="Q967">
        <v>2950</v>
      </c>
      <c r="R967">
        <v>60</v>
      </c>
      <c r="S967" s="26">
        <v>218</v>
      </c>
      <c r="T967" s="25">
        <f>IFERROR(PROPERTIES[[#This Row],[TE_STARTING_KN]]/(PROPERTIES[[#This Row],[WEIGHT]]*9.81),0)</f>
        <v>0.20865936358894102</v>
      </c>
      <c r="U967" s="25">
        <v>0</v>
      </c>
      <c r="V967" s="22">
        <f>ROUND(IF(IFERROR(PROPERTIES[[#This Row],[TE_COEFFICIENT_CALC]],0)=0,PROPERTIES[[#This Row],[TE_COEFFICIENT_MANUAL]],PROPERTIES[[#This Row],[TE_COEFFICIENT_CALC]]),3)</f>
        <v>0.20899999999999999</v>
      </c>
      <c r="W967" s="10" cm="1">
        <f t="array" ref="W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967" s="32">
        <v>0</v>
      </c>
      <c r="Y967" s="8">
        <v>5</v>
      </c>
      <c r="Z967" t="s">
        <v>875</v>
      </c>
      <c r="AA967" t="s">
        <v>868</v>
      </c>
      <c r="AB967" s="2" t="s">
        <v>886</v>
      </c>
      <c r="AC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7" s="2" t="str">
        <f>SUBSTITUTE(SUBSTITUTE(PROPERTIES[[#This Row],[PURCHASECOST_VALUE]], "PURCHASECOST_", ""), "_VALUE", "")</f>
        <v>STEAMENGINE</v>
      </c>
      <c r="AF967" s="8" t="str" cm="1">
        <f t="array" ref="AF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7" s="2" t="b">
        <v>0</v>
      </c>
      <c r="AH967" s="9" t="b">
        <v>0</v>
      </c>
    </row>
    <row r="968" spans="1:34">
      <c r="A968" s="2" t="s">
        <v>3491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t="s">
        <v>1796</v>
      </c>
      <c r="F968" t="str">
        <f>_xlfn.XLOOKUP(PROPERTIES[[#This Row],[COUNTRY]],COUNTRIES[COUNTRY_DESCRIPTION],COUNTRIES[COUNTRY_LABEL],"")</f>
        <v>HU</v>
      </c>
      <c r="G968" t="str" cm="1">
        <f t="array" ref="G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68" t="s">
        <v>19</v>
      </c>
      <c r="I968">
        <v>0</v>
      </c>
      <c r="J968">
        <v>6</v>
      </c>
      <c r="K968">
        <v>6</v>
      </c>
      <c r="L968" t="str" cm="1">
        <f t="array" ref="L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8">
        <f>_xlfn.XLOOKUP("LOADINGSPEEDDEF_"&amp;PROPERTIES[[#This Row],[LOADINGSPEED]],LOADINGSPEEDDEF[TYPE],LOADINGSPEEDDEF[SPEED])</f>
        <v>20</v>
      </c>
      <c r="N968" cm="1">
        <f t="array" ref="N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8">
        <f>IF(ISNUMBER(SEARCH("passenger",PROPERTIES[[#This Row],[CARGODEF]])),1,0)</f>
        <v>0</v>
      </c>
      <c r="P968" s="29">
        <v>94</v>
      </c>
      <c r="Q968">
        <v>2203</v>
      </c>
      <c r="R968">
        <v>100</v>
      </c>
      <c r="S968" s="26">
        <v>200</v>
      </c>
      <c r="T968" s="25">
        <f>IFERROR(PROPERTIES[[#This Row],[TE_STARTING_KN]]/(PROPERTIES[[#This Row],[WEIGHT]]*9.81),0)</f>
        <v>0.21688680677554381</v>
      </c>
      <c r="U968" s="25">
        <v>0</v>
      </c>
      <c r="V968" s="22">
        <f>ROUND(IF(IFERROR(PROPERTIES[[#This Row],[TE_COEFFICIENT_CALC]],0)=0,PROPERTIES[[#This Row],[TE_COEFFICIENT_MANUAL]],PROPERTIES[[#This Row],[TE_COEFFICIENT_CALC]]),3)</f>
        <v>0.217</v>
      </c>
      <c r="W968" s="10" cm="1">
        <f t="array" ref="W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68" s="32">
        <v>0</v>
      </c>
      <c r="Y968" s="8">
        <v>0</v>
      </c>
      <c r="Z968" t="s">
        <v>875</v>
      </c>
      <c r="AA968" t="s">
        <v>868</v>
      </c>
      <c r="AB968" s="2" t="s">
        <v>886</v>
      </c>
      <c r="AC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68" s="2" t="str">
        <f>SUBSTITUTE(SUBSTITUTE(PROPERTIES[[#This Row],[PURCHASECOST_VALUE]], "PURCHASECOST_", ""), "_VALUE", "")</f>
        <v>ELECTRICENGINE</v>
      </c>
      <c r="AF968" s="8" t="str" cm="1">
        <f t="array" ref="AF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8" s="2" t="b">
        <v>0</v>
      </c>
      <c r="AH968" s="9" t="b">
        <v>0</v>
      </c>
    </row>
    <row r="969" spans="1:34">
      <c r="A969" s="2" t="s">
        <v>3494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t="s">
        <v>1875</v>
      </c>
      <c r="F969" t="str">
        <f>_xlfn.XLOOKUP(PROPERTIES[[#This Row],[COUNTRY]],COUNTRIES[COUNTRY_DESCRIPTION],COUNTRIES[COUNTRY_LABEL],"")</f>
        <v>PL</v>
      </c>
      <c r="G969" t="str" cm="1">
        <f t="array" ref="G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69" t="s">
        <v>19</v>
      </c>
      <c r="I969">
        <v>0</v>
      </c>
      <c r="J969">
        <v>8</v>
      </c>
      <c r="K969">
        <v>8</v>
      </c>
      <c r="L969" t="str" cm="1">
        <f t="array" ref="L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9">
        <f>_xlfn.XLOOKUP("LOADINGSPEEDDEF_"&amp;PROPERTIES[[#This Row],[LOADINGSPEED]],LOADINGSPEEDDEF[TYPE],LOADINGSPEEDDEF[SPEED])</f>
        <v>20</v>
      </c>
      <c r="N969" t="str" cm="1">
        <f t="array" ref="N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9">
        <f>IF(ISNUMBER(SEARCH("passenger",PROPERTIES[[#This Row],[CARGODEF]])),1,0)</f>
        <v>0</v>
      </c>
      <c r="P969" s="29">
        <v>84</v>
      </c>
      <c r="Q969">
        <v>3200</v>
      </c>
      <c r="R969">
        <v>160</v>
      </c>
      <c r="S969" s="26">
        <v>275</v>
      </c>
      <c r="T969" s="26">
        <f>IFERROR(PROPERTIES[[#This Row],[TE_STARTING_KN]]/(PROPERTIES[[#This Row],[WEIGHT]]*9.81),0)</f>
        <v>0.33372166399689335</v>
      </c>
      <c r="U969" s="26">
        <v>0</v>
      </c>
      <c r="V969" s="22">
        <f>ROUND(IF(IFERROR(PROPERTIES[[#This Row],[TE_COEFFICIENT_CALC]],0)=0,PROPERTIES[[#This Row],[TE_COEFFICIENT_MANUAL]],PROPERTIES[[#This Row],[TE_COEFFICIENT_CALC]]),3)</f>
        <v>0.33400000000000002</v>
      </c>
      <c r="W969" s="33" cm="1">
        <f t="array" ref="W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9" s="32">
        <v>0</v>
      </c>
      <c r="Y969" s="8">
        <v>0</v>
      </c>
      <c r="Z969" t="s">
        <v>875</v>
      </c>
      <c r="AA969" t="s">
        <v>868</v>
      </c>
      <c r="AB969" s="2" t="s">
        <v>886</v>
      </c>
      <c r="AC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69" s="2" t="str">
        <f>SUBSTITUTE(SUBSTITUTE(PROPERTIES[[#This Row],[PURCHASECOST_VALUE]], "PURCHASECOST_", ""), "_VALUE", "")</f>
        <v>DIESELENGINE</v>
      </c>
      <c r="AF969" s="8" t="str" cm="1">
        <f t="array" ref="AF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69" s="2" t="b">
        <v>0</v>
      </c>
      <c r="AH969" s="9" t="b">
        <v>0</v>
      </c>
    </row>
    <row r="970" spans="1:34">
      <c r="A970" s="2" t="s">
        <v>3496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t="s">
        <v>1806</v>
      </c>
      <c r="F970" t="str">
        <f>_xlfn.XLOOKUP(PROPERTIES[[#This Row],[COUNTRY]],COUNTRIES[COUNTRY_DESCRIPTION],COUNTRIES[COUNTRY_LABEL],"")</f>
        <v>IT</v>
      </c>
      <c r="G970" t="str" cm="1">
        <f t="array" ref="G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0" t="s">
        <v>19</v>
      </c>
      <c r="I970">
        <v>0</v>
      </c>
      <c r="J970">
        <v>7</v>
      </c>
      <c r="K970">
        <v>4</v>
      </c>
      <c r="L970" t="str" cm="1">
        <f t="array" ref="L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0">
        <f>_xlfn.XLOOKUP("LOADINGSPEEDDEF_"&amp;PROPERTIES[[#This Row],[LOADINGSPEED]],LOADINGSPEEDDEF[TYPE],LOADINGSPEEDDEF[SPEED])</f>
        <v>20</v>
      </c>
      <c r="N970" cm="1">
        <f t="array" ref="N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0">
        <f>IF(ISNUMBER(SEARCH("passenger",PROPERTIES[[#This Row],[CARGODEF]])),1,0)</f>
        <v>0</v>
      </c>
      <c r="P970" s="29">
        <v>27.6</v>
      </c>
      <c r="Q970">
        <v>50</v>
      </c>
      <c r="R970">
        <v>35</v>
      </c>
      <c r="S970" s="26">
        <v>26.31</v>
      </c>
      <c r="T970" s="25">
        <f>IFERROR(PROPERTIES[[#This Row],[TE_STARTING_KN]]/(PROPERTIES[[#This Row],[WEIGHT]]*9.81),0)</f>
        <v>9.7172361831316736E-2</v>
      </c>
      <c r="U970" s="25">
        <v>0</v>
      </c>
      <c r="V970" s="22">
        <f>ROUND(IF(IFERROR(PROPERTIES[[#This Row],[TE_COEFFICIENT_CALC]],0)=0,PROPERTIES[[#This Row],[TE_COEFFICIENT_MANUAL]],PROPERTIES[[#This Row],[TE_COEFFICIENT_CALC]]),3)</f>
        <v>9.7000000000000003E-2</v>
      </c>
      <c r="W970" s="10" cm="1">
        <f t="array" ref="W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0" s="32">
        <v>0</v>
      </c>
      <c r="Y970" s="8">
        <v>3</v>
      </c>
      <c r="Z970" t="s">
        <v>870</v>
      </c>
      <c r="AA970" t="s">
        <v>868</v>
      </c>
      <c r="AB970" s="2" t="s">
        <v>886</v>
      </c>
      <c r="AC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0" s="2" t="str">
        <f>SUBSTITUTE(SUBSTITUTE(PROPERTIES[[#This Row],[PURCHASECOST_VALUE]], "PURCHASECOST_", ""), "_VALUE", "")</f>
        <v>STEAMENGINE</v>
      </c>
      <c r="AF970" s="8" t="str" cm="1">
        <f t="array" ref="AF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0" s="2" t="b">
        <v>0</v>
      </c>
      <c r="AH970" s="9" t="b">
        <v>0</v>
      </c>
    </row>
    <row r="971" spans="1:34">
      <c r="A971" t="s">
        <v>3501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t="s">
        <v>1765</v>
      </c>
      <c r="F971" t="str">
        <f>_xlfn.XLOOKUP(PROPERTIES[[#This Row],[COUNTRY]],COUNTRIES[COUNTRY_DESCRIPTION],COUNTRIES[COUNTRY_LABEL],"")</f>
        <v>ES</v>
      </c>
      <c r="G971" t="str" cm="1">
        <f t="array" ref="G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1" t="s">
        <v>19</v>
      </c>
      <c r="I971">
        <v>0</v>
      </c>
      <c r="J971">
        <v>4</v>
      </c>
      <c r="K971">
        <v>12</v>
      </c>
      <c r="L971" t="str" cm="1">
        <f t="array" ref="L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1">
        <f>_xlfn.XLOOKUP("LOADINGSPEEDDEF_"&amp;PROPERTIES[[#This Row],[LOADINGSPEED]],LOADINGSPEEDDEF[TYPE],LOADINGSPEEDDEF[SPEED])</f>
        <v>20</v>
      </c>
      <c r="N971" cm="1">
        <f t="array" ref="N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1">
        <f>IF(ISNUMBER(SEARCH("passenger",PROPERTIES[[#This Row],[CARGODEF]])),1,0)</f>
        <v>0</v>
      </c>
      <c r="P971" s="29">
        <v>179.5</v>
      </c>
      <c r="Q971">
        <v>2350</v>
      </c>
      <c r="R971">
        <v>100</v>
      </c>
      <c r="S971" s="26">
        <v>205</v>
      </c>
      <c r="T971" s="25">
        <f>IFERROR(PROPERTIES[[#This Row],[TE_STARTING_KN]]/(PROPERTIES[[#This Row],[WEIGHT]]*9.81),0)</f>
        <v>0.11641807149205376</v>
      </c>
      <c r="U971" s="25">
        <v>0</v>
      </c>
      <c r="V971" s="22">
        <f>ROUND(IF(IFERROR(PROPERTIES[[#This Row],[TE_COEFFICIENT_CALC]],0)=0,PROPERTIES[[#This Row],[TE_COEFFICIENT_MANUAL]],PROPERTIES[[#This Row],[TE_COEFFICIENT_CALC]]),3)</f>
        <v>0.11600000000000001</v>
      </c>
      <c r="W971" s="10" cm="1">
        <f t="array" ref="W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1" s="32">
        <v>0</v>
      </c>
      <c r="Y971" s="8">
        <v>0</v>
      </c>
      <c r="Z971" t="s">
        <v>870</v>
      </c>
      <c r="AA971" t="s">
        <v>868</v>
      </c>
      <c r="AB971" s="2" t="s">
        <v>886</v>
      </c>
      <c r="AC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1" s="2" t="str">
        <f>SUBSTITUTE(SUBSTITUTE(PROPERTIES[[#This Row],[PURCHASECOST_VALUE]], "PURCHASECOST_", ""), "_VALUE", "")</f>
        <v>STEAMENGINE</v>
      </c>
      <c r="AF971" s="8" t="str" cm="1">
        <f t="array" ref="AF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1" s="2" t="b">
        <v>0</v>
      </c>
      <c r="AH971" s="9" t="b">
        <v>0</v>
      </c>
    </row>
    <row r="972" spans="1:34">
      <c r="A972" s="2" t="s">
        <v>3503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t="s">
        <v>1765</v>
      </c>
      <c r="F972" t="str">
        <f>_xlfn.XLOOKUP(PROPERTIES[[#This Row],[COUNTRY]],COUNTRIES[COUNTRY_DESCRIPTION],COUNTRIES[COUNTRY_LABEL],"")</f>
        <v>ES</v>
      </c>
      <c r="G972" t="str" cm="1">
        <f t="array" ref="G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2" t="s">
        <v>19</v>
      </c>
      <c r="I972">
        <v>0</v>
      </c>
      <c r="J972">
        <v>5</v>
      </c>
      <c r="K972">
        <v>8</v>
      </c>
      <c r="L972" t="str" cm="1">
        <f t="array" ref="L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2">
        <f>_xlfn.XLOOKUP("LOADINGSPEEDDEF_"&amp;PROPERTIES[[#This Row],[LOADINGSPEED]],LOADINGSPEEDDEF[TYPE],LOADINGSPEEDDEF[SPEED])</f>
        <v>20</v>
      </c>
      <c r="N972" cm="1">
        <f t="array" ref="N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2">
        <f>IF(ISNUMBER(SEARCH("passenger",PROPERTIES[[#This Row],[CARGODEF]])),1,0)</f>
        <v>0</v>
      </c>
      <c r="P972" s="29">
        <v>63</v>
      </c>
      <c r="Q972">
        <v>375</v>
      </c>
      <c r="R972">
        <v>60</v>
      </c>
      <c r="S972" s="26">
        <f>13829*0.0049</f>
        <v>67.762100000000004</v>
      </c>
      <c r="T972" s="25">
        <f>IFERROR(PROPERTIES[[#This Row],[TE_STARTING_KN]]/(PROPERTIES[[#This Row],[WEIGHT]]*9.81),0)</f>
        <v>0.10964208857175217</v>
      </c>
      <c r="U972" s="25">
        <v>0</v>
      </c>
      <c r="V972" s="22">
        <f>ROUND(IF(IFERROR(PROPERTIES[[#This Row],[TE_COEFFICIENT_CALC]],0)=0,PROPERTIES[[#This Row],[TE_COEFFICIENT_MANUAL]],PROPERTIES[[#This Row],[TE_COEFFICIENT_CALC]]),3)</f>
        <v>0.11</v>
      </c>
      <c r="W972" s="10" cm="1">
        <f t="array" ref="W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2" s="32">
        <v>0</v>
      </c>
      <c r="Y972" s="8">
        <v>3</v>
      </c>
      <c r="Z972" t="s">
        <v>870</v>
      </c>
      <c r="AA972" t="s">
        <v>868</v>
      </c>
      <c r="AB972" s="2" t="s">
        <v>886</v>
      </c>
      <c r="AC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2" s="2" t="str">
        <f>SUBSTITUTE(SUBSTITUTE(PROPERTIES[[#This Row],[PURCHASECOST_VALUE]], "PURCHASECOST_", ""), "_VALUE", "")</f>
        <v>STEAMENGINE</v>
      </c>
      <c r="AF972" s="8" t="str" cm="1">
        <f t="array" ref="AF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2" s="2" t="b">
        <v>0</v>
      </c>
      <c r="AH972" s="9" t="b">
        <v>0</v>
      </c>
    </row>
    <row r="973" spans="1:34">
      <c r="A973" s="2" t="s">
        <v>3506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t="s">
        <v>1765</v>
      </c>
      <c r="F973" t="str">
        <f>_xlfn.XLOOKUP(PROPERTIES[[#This Row],[COUNTRY]],COUNTRIES[COUNTRY_DESCRIPTION],COUNTRIES[COUNTRY_LABEL],"")</f>
        <v>ES</v>
      </c>
      <c r="G973" t="str" cm="1">
        <f t="array" ref="G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3" t="s">
        <v>19</v>
      </c>
      <c r="I973">
        <v>0</v>
      </c>
      <c r="J973">
        <v>7</v>
      </c>
      <c r="K973">
        <v>11</v>
      </c>
      <c r="L973" t="str" cm="1">
        <f t="array" ref="L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3">
        <f>_xlfn.XLOOKUP("LOADINGSPEEDDEF_"&amp;PROPERTIES[[#This Row],[LOADINGSPEED]],LOADINGSPEEDDEF[TYPE],LOADINGSPEEDDEF[SPEED])</f>
        <v>20</v>
      </c>
      <c r="N973" cm="1">
        <f t="array" ref="N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3">
        <f>IF(ISNUMBER(SEARCH("passenger",PROPERTIES[[#This Row],[CARGODEF]])),1,0)</f>
        <v>0</v>
      </c>
      <c r="P973" s="29">
        <v>141</v>
      </c>
      <c r="Q973">
        <v>2022</v>
      </c>
      <c r="R973">
        <f>INT(65*1.62)</f>
        <v>105</v>
      </c>
      <c r="S973" s="26">
        <f>30634*0.0049</f>
        <v>150.10659999999999</v>
      </c>
      <c r="T973" s="25">
        <f>IFERROR(PROPERTIES[[#This Row],[TE_STARTING_KN]]/(PROPERTIES[[#This Row],[WEIGHT]]*9.81),0)</f>
        <v>0.10852047049977949</v>
      </c>
      <c r="U973" s="25">
        <v>0</v>
      </c>
      <c r="V973" s="22">
        <f>ROUND(IF(IFERROR(PROPERTIES[[#This Row],[TE_COEFFICIENT_CALC]],0)=0,PROPERTIES[[#This Row],[TE_COEFFICIENT_MANUAL]],PROPERTIES[[#This Row],[TE_COEFFICIENT_CALC]]),3)</f>
        <v>0.109</v>
      </c>
      <c r="W973" s="10" cm="1">
        <f t="array" ref="W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973" s="32">
        <v>0</v>
      </c>
      <c r="Y973" s="8">
        <v>4</v>
      </c>
      <c r="Z973" t="s">
        <v>870</v>
      </c>
      <c r="AA973" t="s">
        <v>868</v>
      </c>
      <c r="AB973" s="2" t="s">
        <v>886</v>
      </c>
      <c r="AC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3" s="2" t="str">
        <f>SUBSTITUTE(SUBSTITUTE(PROPERTIES[[#This Row],[PURCHASECOST_VALUE]], "PURCHASECOST_", ""), "_VALUE", "")</f>
        <v>STEAMENGINE</v>
      </c>
      <c r="AF973" s="8" t="str" cm="1">
        <f t="array" ref="AF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3" s="2" t="b">
        <v>0</v>
      </c>
      <c r="AH973" s="9" t="b">
        <v>0</v>
      </c>
    </row>
    <row r="974" spans="1:34">
      <c r="A974" s="2" t="s">
        <v>3511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t="s">
        <v>1743</v>
      </c>
      <c r="F974" t="str">
        <f>_xlfn.XLOOKUP(PROPERTIES[[#This Row],[COUNTRY]],COUNTRIES[COUNTRY_DESCRIPTION],COUNTRIES[COUNTRY_LABEL],"")</f>
        <v>CL</v>
      </c>
      <c r="G974" t="str" cm="1">
        <f t="array" ref="G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4" t="s">
        <v>17</v>
      </c>
      <c r="I974">
        <f>INT(236/2)</f>
        <v>118</v>
      </c>
      <c r="J974">
        <v>8</v>
      </c>
      <c r="K974">
        <v>8</v>
      </c>
      <c r="L974" t="str" cm="1">
        <f t="array" ref="L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4">
        <f>_xlfn.XLOOKUP("LOADINGSPEEDDEF_"&amp;PROPERTIES[[#This Row],[LOADINGSPEED]],LOADINGSPEEDDEF[TYPE],LOADINGSPEEDDEF[SPEED])</f>
        <v>16</v>
      </c>
      <c r="N974" t="str" cm="1">
        <f t="array" ref="N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4">
        <f>IF(ISNUMBER(SEARCH("passenger",PROPERTIES[[#This Row],[CARGODEF]])),1,0)</f>
        <v>1</v>
      </c>
      <c r="P974" s="29">
        <f>207/4</f>
        <v>51.75</v>
      </c>
      <c r="Q974">
        <v>7510</v>
      </c>
      <c r="R974">
        <v>180</v>
      </c>
      <c r="S974" s="26">
        <v>120</v>
      </c>
      <c r="T974" s="26">
        <f>IFERROR(PROPERTIES[[#This Row],[TE_STARTING_KN]]/(PROPERTIES[[#This Row],[WEIGHT]]*9.81),0)</f>
        <v>0.23637518651479561</v>
      </c>
      <c r="U974" s="26">
        <v>0</v>
      </c>
      <c r="V974" s="22">
        <f>ROUND(IF(IFERROR(PROPERTIES[[#This Row],[TE_COEFFICIENT_CALC]],0)=0,PROPERTIES[[#This Row],[TE_COEFFICIENT_MANUAL]],PROPERTIES[[#This Row],[TE_COEFFICIENT_CALC]]),3)</f>
        <v>0.23599999999999999</v>
      </c>
      <c r="W974" s="45" cm="1">
        <f t="array" ref="W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74" s="32">
        <v>118</v>
      </c>
      <c r="Y974" s="8">
        <v>8</v>
      </c>
      <c r="Z974" t="s">
        <v>876</v>
      </c>
      <c r="AA974" t="s">
        <v>868</v>
      </c>
      <c r="AB974" s="2" t="s">
        <v>886</v>
      </c>
      <c r="AC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4" s="2" t="str">
        <f>SUBSTITUTE(SUBSTITUTE(PROPERTIES[[#This Row],[PURCHASECOST_VALUE]], "PURCHASECOST_", ""), "_VALUE", "")</f>
        <v>EMU</v>
      </c>
      <c r="AF974" s="8" t="str" cm="1">
        <f t="array" ref="AF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4" s="2" t="b">
        <v>0</v>
      </c>
      <c r="AH974" s="9" t="b">
        <v>0</v>
      </c>
    </row>
    <row r="975" spans="1:34">
      <c r="A975" s="2" t="s">
        <v>3526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t="s">
        <v>1928</v>
      </c>
      <c r="F975" t="str">
        <f>_xlfn.XLOOKUP(PROPERTIES[[#This Row],[COUNTRY]],COUNTRIES[COUNTRY_DESCRIPTION],COUNTRIES[COUNTRY_LABEL],"")</f>
        <v>US</v>
      </c>
      <c r="G975" t="str" cm="1">
        <f t="array" ref="G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5" t="s">
        <v>19</v>
      </c>
      <c r="I975">
        <v>0</v>
      </c>
      <c r="J975">
        <v>8</v>
      </c>
      <c r="K975">
        <v>16</v>
      </c>
      <c r="L975" t="str" cm="1">
        <f t="array" ref="L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5">
        <f>_xlfn.XLOOKUP("LOADINGSPEEDDEF_"&amp;PROPERTIES[[#This Row],[LOADINGSPEED]],LOADINGSPEEDDEF[TYPE],LOADINGSPEEDDEF[SPEED])</f>
        <v>20</v>
      </c>
      <c r="N975" cm="1">
        <f t="array" ref="N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5">
        <f>IF(ISNUMBER(SEARCH("passenger",PROPERTIES[[#This Row],[CARGODEF]])),1,0)</f>
        <v>0</v>
      </c>
      <c r="P975" s="29">
        <v>140</v>
      </c>
      <c r="Q975">
        <v>2000</v>
      </c>
      <c r="R975">
        <v>187</v>
      </c>
      <c r="S975" s="26">
        <f>56500*0.0049</f>
        <v>276.84999999999997</v>
      </c>
      <c r="T975" s="26">
        <f>IFERROR(PROPERTIES[[#This Row],[TE_STARTING_KN]]/(PROPERTIES[[#This Row],[WEIGHT]]*9.81),0)</f>
        <v>0.20158002038735981</v>
      </c>
      <c r="U975" s="26">
        <v>0</v>
      </c>
      <c r="V975" s="22">
        <f>ROUND(IF(IFERROR(PROPERTIES[[#This Row],[TE_COEFFICIENT_CALC]],0)=0,PROPERTIES[[#This Row],[TE_COEFFICIENT_MANUAL]],PROPERTIES[[#This Row],[TE_COEFFICIENT_CALC]]),3)</f>
        <v>0.20200000000000001</v>
      </c>
      <c r="W975" s="45" cm="1">
        <f t="array" ref="W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5" s="32">
        <v>0</v>
      </c>
      <c r="Y975" s="8">
        <v>8</v>
      </c>
      <c r="Z975" s="8" t="s">
        <v>874</v>
      </c>
      <c r="AA975" t="s">
        <v>868</v>
      </c>
      <c r="AB975" s="2" t="s">
        <v>886</v>
      </c>
      <c r="AC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5" s="2" t="str">
        <f>SUBSTITUTE(SUBSTITUTE(PROPERTIES[[#This Row],[PURCHASECOST_VALUE]], "PURCHASECOST_", ""), "_VALUE", "")</f>
        <v>DIESELENGINE</v>
      </c>
      <c r="AF975" s="8" t="str" cm="1">
        <f t="array" ref="AF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75" s="2" t="b">
        <v>0</v>
      </c>
      <c r="AH975" s="9" t="b">
        <v>0</v>
      </c>
    </row>
    <row r="976" spans="1:34">
      <c r="A976" s="2" t="s">
        <v>3527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t="s">
        <v>1928</v>
      </c>
      <c r="F976" t="str">
        <f>_xlfn.XLOOKUP(PROPERTIES[[#This Row],[COUNTRY]],COUNTRIES[COUNTRY_DESCRIPTION],COUNTRIES[COUNTRY_LABEL],"")</f>
        <v>US</v>
      </c>
      <c r="G976" t="str" cm="1">
        <f t="array" ref="G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6" t="s">
        <v>19</v>
      </c>
      <c r="I976">
        <v>0</v>
      </c>
      <c r="J976">
        <v>6</v>
      </c>
      <c r="K976">
        <v>12</v>
      </c>
      <c r="L976" t="str" cm="1">
        <f t="array" ref="L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6">
        <f>_xlfn.XLOOKUP("LOADINGSPEEDDEF_"&amp;PROPERTIES[[#This Row],[LOADINGSPEED]],LOADINGSPEEDDEF[TYPE],LOADINGSPEEDDEF[SPEED])</f>
        <v>20</v>
      </c>
      <c r="N976" cm="1">
        <f t="array" ref="N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6">
        <f>IF(ISNUMBER(SEARCH("passenger",PROPERTIES[[#This Row],[CARGODEF]])),1,0)</f>
        <v>0</v>
      </c>
      <c r="P976" s="29">
        <f>104+99</f>
        <v>203</v>
      </c>
      <c r="Q976">
        <v>2700</v>
      </c>
      <c r="R976">
        <v>153</v>
      </c>
      <c r="S976" s="26">
        <v>245</v>
      </c>
      <c r="T976" s="26">
        <f>IFERROR(PROPERTIES[[#This Row],[TE_STARTING_KN]]/(PROPERTIES[[#This Row],[WEIGHT]]*9.81),0)</f>
        <v>0.12302717142957573</v>
      </c>
      <c r="U976" s="26">
        <v>0</v>
      </c>
      <c r="V976" s="22">
        <f>ROUND(IF(IFERROR(PROPERTIES[[#This Row],[TE_COEFFICIENT_CALC]],0)=0,PROPERTIES[[#This Row],[TE_COEFFICIENT_MANUAL]],PROPERTIES[[#This Row],[TE_COEFFICIENT_CALC]]),3)</f>
        <v>0.123</v>
      </c>
      <c r="W976" s="45" cm="1">
        <f t="array" ref="W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6" s="32">
        <v>0</v>
      </c>
      <c r="Y976" s="8">
        <v>6</v>
      </c>
      <c r="Z976" s="8" t="s">
        <v>874</v>
      </c>
      <c r="AA976" t="s">
        <v>868</v>
      </c>
      <c r="AB976" s="2" t="s">
        <v>886</v>
      </c>
      <c r="AC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6" s="2" t="str">
        <f>SUBSTITUTE(SUBSTITUTE(PROPERTIES[[#This Row],[PURCHASECOST_VALUE]], "PURCHASECOST_", ""), "_VALUE", "")</f>
        <v>DIESELENGINE</v>
      </c>
      <c r="AF976" s="8" t="str" cm="1">
        <f t="array" ref="AF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6" s="2" t="b">
        <v>0</v>
      </c>
      <c r="AH976" s="9" t="b">
        <v>0</v>
      </c>
    </row>
    <row r="977" spans="1:34">
      <c r="A977" s="2" t="s">
        <v>3530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t="s">
        <v>1754</v>
      </c>
      <c r="F977" t="str">
        <f>_xlfn.XLOOKUP(PROPERTIES[[#This Row],[COUNTRY]],COUNTRIES[COUNTRY_DESCRIPTION],COUNTRIES[COUNTRY_LABEL],"")</f>
        <v>DE</v>
      </c>
      <c r="G977" t="str" cm="1">
        <f t="array" ref="G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7" t="s">
        <v>19</v>
      </c>
      <c r="I977">
        <v>0</v>
      </c>
      <c r="J977">
        <v>8</v>
      </c>
      <c r="K977">
        <v>8</v>
      </c>
      <c r="L977" t="str" cm="1">
        <f t="array" ref="L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7">
        <f>_xlfn.XLOOKUP("LOADINGSPEEDDEF_"&amp;PROPERTIES[[#This Row],[LOADINGSPEED]],LOADINGSPEEDDEF[TYPE],LOADINGSPEEDDEF[SPEED])</f>
        <v>20</v>
      </c>
      <c r="N977" cm="1">
        <f t="array" ref="N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7">
        <f>IF(ISNUMBER(SEARCH("passenger",PROPERTIES[[#This Row],[CARGODEF]])),1,0)</f>
        <v>0</v>
      </c>
      <c r="P977" s="29">
        <v>140</v>
      </c>
      <c r="Q977">
        <f>INT(2206*1.341)</f>
        <v>2958</v>
      </c>
      <c r="R977">
        <v>120</v>
      </c>
      <c r="S977" s="26">
        <v>265</v>
      </c>
      <c r="T977" s="25">
        <f>IFERROR(PROPERTIES[[#This Row],[TE_STARTING_KN]]/(PROPERTIES[[#This Row],[WEIGHT]]*9.81),0)</f>
        <v>0.1929517984563856</v>
      </c>
      <c r="U977" s="25">
        <v>0</v>
      </c>
      <c r="V977" s="22">
        <f>ROUND(IF(IFERROR(PROPERTIES[[#This Row],[TE_COEFFICIENT_CALC]],0)=0,PROPERTIES[[#This Row],[TE_COEFFICIENT_MANUAL]],PROPERTIES[[#This Row],[TE_COEFFICIENT_CALC]]),3)</f>
        <v>0.193</v>
      </c>
      <c r="W977" s="10" cm="1">
        <f t="array" ref="W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977" s="32">
        <v>0</v>
      </c>
      <c r="Y977" s="8">
        <v>0</v>
      </c>
      <c r="Z977" t="s">
        <v>869</v>
      </c>
      <c r="AA977" t="s">
        <v>3514</v>
      </c>
      <c r="AB977" s="2" t="s">
        <v>886</v>
      </c>
      <c r="AC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7" s="2" t="str">
        <f>SUBSTITUTE(SUBSTITUTE(PROPERTIES[[#This Row],[PURCHASECOST_VALUE]], "PURCHASECOST_", ""), "_VALUE", "")</f>
        <v>DIESELENGINE</v>
      </c>
      <c r="AF977" s="8" t="str" cm="1">
        <f t="array" ref="AF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7" s="2" t="b">
        <v>0</v>
      </c>
      <c r="AH977" s="9" t="b">
        <v>0</v>
      </c>
    </row>
    <row r="978" spans="1:34">
      <c r="A978" s="2" t="s">
        <v>3532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t="s">
        <v>1810</v>
      </c>
      <c r="F978" t="str">
        <f>_xlfn.XLOOKUP(PROPERTIES[[#This Row],[COUNTRY]],COUNTRIES[COUNTRY_DESCRIPTION],COUNTRIES[COUNTRY_LABEL],"")</f>
        <v>JP</v>
      </c>
      <c r="G978" t="str" cm="1">
        <f t="array" ref="G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8" t="s">
        <v>17</v>
      </c>
      <c r="I978">
        <v>75</v>
      </c>
      <c r="J978">
        <v>8</v>
      </c>
      <c r="K978">
        <v>8</v>
      </c>
      <c r="L978" t="str" cm="1">
        <f t="array" ref="L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8">
        <f>_xlfn.XLOOKUP("LOADINGSPEEDDEF_"&amp;PROPERTIES[[#This Row],[LOADINGSPEED]],LOADINGSPEEDDEF[TYPE],LOADINGSPEEDDEF[SPEED])</f>
        <v>16</v>
      </c>
      <c r="N978" t="str" cm="1">
        <f t="array" ref="N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8">
        <f>IF(ISNUMBER(SEARCH("passenger",PROPERTIES[[#This Row],[CARGODEF]])),1,0)</f>
        <v>1</v>
      </c>
      <c r="P978" s="29">
        <v>53</v>
      </c>
      <c r="Q978">
        <f>INT(992*2*1.2)</f>
        <v>2380</v>
      </c>
      <c r="R978">
        <v>210</v>
      </c>
      <c r="S978" s="26">
        <v>0</v>
      </c>
      <c r="T978" s="25">
        <f>IFERROR(PROPERTIES[[#This Row],[TE_STARTING_KN]]/(PROPERTIES[[#This Row],[WEIGHT]]*9.81),0)</f>
        <v>0</v>
      </c>
      <c r="U978" s="25">
        <v>0.3</v>
      </c>
      <c r="V978" s="22">
        <f>ROUND(IF(IFERROR(PROPERTIES[[#This Row],[TE_COEFFICIENT_CALC]],0)=0,PROPERTIES[[#This Row],[TE_COEFFICIENT_MANUAL]],PROPERTIES[[#This Row],[TE_COEFFICIENT_CALC]]),3)</f>
        <v>0.3</v>
      </c>
      <c r="W978" s="10" cm="1">
        <f t="array" ref="W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8" s="32">
        <v>100</v>
      </c>
      <c r="Y978" s="8">
        <v>8</v>
      </c>
      <c r="Z978" t="s">
        <v>877</v>
      </c>
      <c r="AA978" t="s">
        <v>868</v>
      </c>
      <c r="AB978" s="2" t="s">
        <v>886</v>
      </c>
      <c r="AC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8" s="2" t="str">
        <f>SUBSTITUTE(SUBSTITUTE(PROPERTIES[[#This Row],[PURCHASECOST_VALUE]], "PURCHASECOST_", ""), "_VALUE", "")</f>
        <v>EMU</v>
      </c>
      <c r="AF978" s="8" t="str" cm="1">
        <f t="array" ref="AF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8" s="2" t="b">
        <v>0</v>
      </c>
      <c r="AH978" s="9" t="b">
        <v>0</v>
      </c>
    </row>
    <row r="979" spans="1:34">
      <c r="A979" s="2" t="s">
        <v>3535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t="s">
        <v>1948</v>
      </c>
      <c r="F979" t="str">
        <f>_xlfn.XLOOKUP(PROPERTIES[[#This Row],[COUNTRY]],COUNTRIES[COUNTRY_DESCRIPTION],COUNTRIES[COUNTRY_LABEL],"")</f>
        <v>YU</v>
      </c>
      <c r="G979" t="str" cm="1">
        <f t="array" ref="G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9" t="s">
        <v>19</v>
      </c>
      <c r="I979">
        <v>0</v>
      </c>
      <c r="J979">
        <v>8</v>
      </c>
      <c r="K979">
        <v>8</v>
      </c>
      <c r="L979" t="str" cm="1">
        <f t="array" ref="L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9">
        <f>_xlfn.XLOOKUP("LOADINGSPEEDDEF_"&amp;PROPERTIES[[#This Row],[LOADINGSPEED]],LOADINGSPEEDDEF[TYPE],LOADINGSPEEDDEF[SPEED])</f>
        <v>20</v>
      </c>
      <c r="N979" cm="1">
        <f t="array" ref="N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9">
        <f>IF(ISNUMBER(SEARCH("passenger",PROPERTIES[[#This Row],[CARGODEF]])),1,0)</f>
        <v>0</v>
      </c>
      <c r="P979" s="29">
        <v>96</v>
      </c>
      <c r="Q979">
        <v>2400</v>
      </c>
      <c r="R979">
        <v>120</v>
      </c>
      <c r="S979" s="26">
        <v>336</v>
      </c>
      <c r="T979" s="26">
        <f>IFERROR(PROPERTIES[[#This Row],[TE_STARTING_KN]]/(PROPERTIES[[#This Row],[WEIGHT]]*9.81),0)</f>
        <v>0.3567787971457696</v>
      </c>
      <c r="U979" s="26">
        <v>0</v>
      </c>
      <c r="V979" s="22">
        <f>ROUND(IF(IFERROR(PROPERTIES[[#This Row],[TE_COEFFICIENT_CALC]],0)=0,PROPERTIES[[#This Row],[TE_COEFFICIENT_MANUAL]],PROPERTIES[[#This Row],[TE_COEFFICIENT_CALC]]),3)</f>
        <v>0.35699999999999998</v>
      </c>
      <c r="W979" s="45" cm="1">
        <f t="array" ref="W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9" s="32">
        <v>0</v>
      </c>
      <c r="Y979" s="8">
        <v>0</v>
      </c>
      <c r="Z979" s="8" t="s">
        <v>875</v>
      </c>
      <c r="AA979" t="s">
        <v>868</v>
      </c>
      <c r="AB979" s="2" t="s">
        <v>886</v>
      </c>
      <c r="AC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9" s="2" t="str">
        <f>SUBSTITUTE(SUBSTITUTE(PROPERTIES[[#This Row],[PURCHASECOST_VALUE]], "PURCHASECOST_", ""), "_VALUE", "")</f>
        <v>DIESELENGINE</v>
      </c>
      <c r="AF979" s="8" t="str" cm="1">
        <f t="array" ref="AF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9" s="2" t="b">
        <v>0</v>
      </c>
      <c r="AH979" s="9" t="b">
        <v>0</v>
      </c>
    </row>
    <row r="980" spans="1:34">
      <c r="A980" s="2" t="s">
        <v>3539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t="s">
        <v>1796</v>
      </c>
      <c r="F980" t="str">
        <f>_xlfn.XLOOKUP(PROPERTIES[[#This Row],[COUNTRY]],COUNTRIES[COUNTRY_DESCRIPTION],COUNTRIES[COUNTRY_LABEL],"")</f>
        <v>HU</v>
      </c>
      <c r="G980" t="str" cm="1">
        <f t="array" ref="G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0" t="s">
        <v>17</v>
      </c>
      <c r="I980">
        <v>54</v>
      </c>
      <c r="J980">
        <v>8</v>
      </c>
      <c r="K980">
        <v>8</v>
      </c>
      <c r="L980" t="str" cm="1">
        <f t="array" ref="L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80">
        <f>_xlfn.XLOOKUP("LOADINGSPEEDDEF_"&amp;PROPERTIES[[#This Row],[LOADINGSPEED]],LOADINGSPEEDDEF[TYPE],LOADINGSPEEDDEF[SPEED])</f>
        <v>40</v>
      </c>
      <c r="N980" cm="1">
        <f t="array" ref="N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0">
        <f>IF(ISNUMBER(SEARCH("passenger",PROPERTIES[[#This Row],[CARGODEF]])),1,0)</f>
        <v>1</v>
      </c>
      <c r="P980" s="29">
        <v>53.25</v>
      </c>
      <c r="Q980">
        <f>2*450</f>
        <v>900</v>
      </c>
      <c r="R980">
        <v>120</v>
      </c>
      <c r="S980" s="26">
        <v>38</v>
      </c>
      <c r="T980" s="25">
        <f>IFERROR(PROPERTIES[[#This Row],[TE_STARTING_KN]]/(PROPERTIES[[#This Row],[WEIGHT]]*9.81),0)</f>
        <v>7.2743631342933573E-2</v>
      </c>
      <c r="U980" s="25">
        <v>0</v>
      </c>
      <c r="V980" s="22">
        <f>ROUND(IF(IFERROR(PROPERTIES[[#This Row],[TE_COEFFICIENT_CALC]],0)=0,PROPERTIES[[#This Row],[TE_COEFFICIENT_MANUAL]],PROPERTIES[[#This Row],[TE_COEFFICIENT_CALC]]),3)</f>
        <v>7.2999999999999995E-2</v>
      </c>
      <c r="W980" s="10" cm="1">
        <f t="array" ref="W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980" s="32">
        <v>54</v>
      </c>
      <c r="Y980" s="8">
        <v>8</v>
      </c>
      <c r="Z980" s="8" t="s">
        <v>875</v>
      </c>
      <c r="AA980" t="s">
        <v>869</v>
      </c>
      <c r="AB980" s="2" t="s">
        <v>886</v>
      </c>
      <c r="AC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80" s="2" t="str">
        <f>SUBSTITUTE(SUBSTITUTE(PROPERTIES[[#This Row],[PURCHASECOST_VALUE]], "PURCHASECOST_", ""), "_VALUE", "")</f>
        <v>DMU</v>
      </c>
      <c r="AF980" s="8" t="str" cm="1">
        <f t="array" ref="AF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80" s="2" t="b">
        <v>0</v>
      </c>
      <c r="AH980" s="9" t="b">
        <v>0</v>
      </c>
    </row>
    <row r="981" spans="1:34">
      <c r="A981" s="2" t="s">
        <v>3541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t="s">
        <v>1754</v>
      </c>
      <c r="F981" t="str">
        <f>_xlfn.XLOOKUP(PROPERTIES[[#This Row],[COUNTRY]],COUNTRIES[COUNTRY_DESCRIPTION],COUNTRIES[COUNTRY_LABEL],"")</f>
        <v>DE</v>
      </c>
      <c r="G981" t="str" cm="1">
        <f t="array" ref="G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1" t="s">
        <v>19</v>
      </c>
      <c r="I981">
        <v>0</v>
      </c>
      <c r="J981">
        <v>8</v>
      </c>
      <c r="K981">
        <v>8</v>
      </c>
      <c r="L981" t="str" cm="1">
        <f t="array" ref="L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1">
        <f>_xlfn.XLOOKUP("LOADINGSPEEDDEF_"&amp;PROPERTIES[[#This Row],[LOADINGSPEED]],LOADINGSPEEDDEF[TYPE],LOADINGSPEEDDEF[SPEED])</f>
        <v>20</v>
      </c>
      <c r="N981" cm="1">
        <f t="array" ref="N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1">
        <f>IF(ISNUMBER(SEARCH("passenger",PROPERTIES[[#This Row],[CARGODEF]])),1,0)</f>
        <v>0</v>
      </c>
      <c r="P981" s="29">
        <v>78</v>
      </c>
      <c r="Q981">
        <f>INT(2200*1.341)</f>
        <v>2950</v>
      </c>
      <c r="R981">
        <v>90</v>
      </c>
      <c r="S981" s="26">
        <v>196</v>
      </c>
      <c r="T981" s="25">
        <f>IFERROR(PROPERTIES[[#This Row],[TE_STARTING_KN]]/(PROPERTIES[[#This Row],[WEIGHT]]*9.81),0)</f>
        <v>0.25614888000209102</v>
      </c>
      <c r="U981" s="25">
        <v>0</v>
      </c>
      <c r="V981" s="22">
        <f>ROUND(IF(IFERROR(PROPERTIES[[#This Row],[TE_COEFFICIENT_CALC]],0)=0,PROPERTIES[[#This Row],[TE_COEFFICIENT_MANUAL]],PROPERTIES[[#This Row],[TE_COEFFICIENT_CALC]]),3)</f>
        <v>0.25600000000000001</v>
      </c>
      <c r="W981" s="10" cm="1">
        <f t="array" ref="W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981" s="32">
        <v>0</v>
      </c>
      <c r="Y981" s="8">
        <v>0</v>
      </c>
      <c r="Z981" t="s">
        <v>869</v>
      </c>
      <c r="AA981" t="s">
        <v>868</v>
      </c>
      <c r="AB981" s="2" t="s">
        <v>886</v>
      </c>
      <c r="AC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1" s="2" t="str">
        <f>SUBSTITUTE(SUBSTITUTE(PROPERTIES[[#This Row],[PURCHASECOST_VALUE]], "PURCHASECOST_", ""), "_VALUE", "")</f>
        <v>ELECTRICENGINE</v>
      </c>
      <c r="AF981" s="8" t="str" cm="1">
        <f t="array" ref="AF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1" s="2" t="b">
        <v>0</v>
      </c>
      <c r="AH981" s="9" t="b">
        <v>0</v>
      </c>
    </row>
    <row r="982" spans="1:34">
      <c r="A982" s="2" t="s">
        <v>3547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t="s">
        <v>1875</v>
      </c>
      <c r="F982" t="str">
        <f>_xlfn.XLOOKUP(PROPERTIES[[#This Row],[COUNTRY]],COUNTRIES[COUNTRY_DESCRIPTION],COUNTRIES[COUNTRY_LABEL],"")</f>
        <v>PL</v>
      </c>
      <c r="G982" t="str" cm="1">
        <f t="array" ref="G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2" t="s">
        <v>19</v>
      </c>
      <c r="I982">
        <v>0</v>
      </c>
      <c r="J982">
        <v>8</v>
      </c>
      <c r="K982">
        <v>8</v>
      </c>
      <c r="L982" t="str" cm="1">
        <f t="array" ref="L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2">
        <f>_xlfn.XLOOKUP("LOADINGSPEEDDEF_"&amp;PROPERTIES[[#This Row],[LOADINGSPEED]],LOADINGSPEEDDEF[TYPE],LOADINGSPEEDDEF[SPEED])</f>
        <v>20</v>
      </c>
      <c r="N982" t="str" cm="1">
        <f t="array" ref="N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82">
        <f>IF(ISNUMBER(SEARCH("passenger",PROPERTIES[[#This Row],[CARGODEF]])),1,0)</f>
        <v>0</v>
      </c>
      <c r="P982" s="29">
        <v>82</v>
      </c>
      <c r="Q982">
        <f>INT(6400*1.341)</f>
        <v>8582</v>
      </c>
      <c r="R982">
        <v>200</v>
      </c>
      <c r="S982" s="26">
        <v>275</v>
      </c>
      <c r="T982" s="26">
        <f>IFERROR(PROPERTIES[[#This Row],[TE_STARTING_KN]]/(PROPERTIES[[#This Row],[WEIGHT]]*9.81),0)</f>
        <v>0.34186121677730535</v>
      </c>
      <c r="U982" s="26">
        <v>0</v>
      </c>
      <c r="V982" s="22">
        <f>ROUND(IF(IFERROR(PROPERTIES[[#This Row],[TE_COEFFICIENT_CALC]],0)=0,PROPERTIES[[#This Row],[TE_COEFFICIENT_MANUAL]],PROPERTIES[[#This Row],[TE_COEFFICIENT_CALC]]),3)</f>
        <v>0.34200000000000003</v>
      </c>
      <c r="W982" s="45" cm="1">
        <f t="array" ref="W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82" s="32">
        <v>0</v>
      </c>
      <c r="Y982" s="8">
        <v>0</v>
      </c>
      <c r="Z982" s="8" t="s">
        <v>875</v>
      </c>
      <c r="AA982" s="9" t="s">
        <v>868</v>
      </c>
      <c r="AB982" s="2" t="s">
        <v>886</v>
      </c>
      <c r="AC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2" s="2" t="str">
        <f>SUBSTITUTE(SUBSTITUTE(PROPERTIES[[#This Row],[PURCHASECOST_VALUE]], "PURCHASECOST_", ""), "_VALUE", "")</f>
        <v>ELECTRICENGINE</v>
      </c>
      <c r="AF982" s="8" t="str" cm="1">
        <f t="array" ref="AF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82" s="2" t="b">
        <v>0</v>
      </c>
      <c r="AH982" s="9" t="b">
        <v>0</v>
      </c>
    </row>
    <row r="983" spans="1:34">
      <c r="A983" s="2" t="s">
        <v>3550</v>
      </c>
      <c r="B983">
        <v>1932</v>
      </c>
      <c r="C983">
        <v>1969</v>
      </c>
      <c r="D983" s="46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">
        <v>1887</v>
      </c>
      <c r="F983" s="46" t="str">
        <f>_xlfn.XLOOKUP(PROPERTIES[[#This Row],[COUNTRY]],COUNTRIES[COUNTRY_DESCRIPTION],COUNTRIES[COUNTRY_LABEL],"")</f>
        <v>RU</v>
      </c>
      <c r="G983" s="46" t="str" cm="1">
        <f t="array" ref="G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3" t="s">
        <v>19</v>
      </c>
      <c r="I983">
        <v>0</v>
      </c>
      <c r="J983">
        <v>8</v>
      </c>
      <c r="K983" s="46">
        <v>8</v>
      </c>
      <c r="L983" s="46" t="str" cm="1">
        <f t="array" ref="L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3" s="46">
        <f>_xlfn.XLOOKUP("LOADINGSPEEDDEF_"&amp;PROPERTIES[[#This Row],[LOADINGSPEED]],LOADINGSPEEDDEF[TYPE],LOADINGSPEEDDEF[SPEED])</f>
        <v>20</v>
      </c>
      <c r="N983" s="46" cm="1">
        <f t="array" ref="N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3">
        <f>IF(ISNUMBER(SEARCH("passenger",PROPERTIES[[#This Row],[CARGODEF]])),1,0)</f>
        <v>0</v>
      </c>
      <c r="P983" s="29">
        <v>114</v>
      </c>
      <c r="Q983">
        <f>6*460</f>
        <v>2760</v>
      </c>
      <c r="R983">
        <v>85</v>
      </c>
      <c r="S983" s="26">
        <v>200</v>
      </c>
      <c r="T983" s="26">
        <f>IFERROR(PROPERTIES[[#This Row],[TE_STARTING_KN]]/(PROPERTIES[[#This Row],[WEIGHT]]*9.81),0)</f>
        <v>0.17883648979737823</v>
      </c>
      <c r="U983" s="26">
        <v>0</v>
      </c>
      <c r="V983" s="22">
        <f>ROUND(IF(IFERROR(PROPERTIES[[#This Row],[TE_COEFFICIENT_CALC]],0)=0,PROPERTIES[[#This Row],[TE_COEFFICIENT_MANUAL]],PROPERTIES[[#This Row],[TE_COEFFICIENT_CALC]]),3)</f>
        <v>0.17899999999999999</v>
      </c>
      <c r="W983" s="45" cm="1">
        <f t="array" ref="W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983" s="32">
        <v>0</v>
      </c>
      <c r="Y983" s="8">
        <v>0</v>
      </c>
      <c r="Z983" s="8" t="s">
        <v>3514</v>
      </c>
      <c r="AA983" s="9" t="s">
        <v>868</v>
      </c>
      <c r="AB983" s="2" t="s">
        <v>886</v>
      </c>
      <c r="AC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3" s="2" t="str">
        <f>SUBSTITUTE(SUBSTITUTE(PROPERTIES[[#This Row],[PURCHASECOST_VALUE]], "PURCHASECOST_", ""), "_VALUE", "")</f>
        <v>ELECTRICENGINE</v>
      </c>
      <c r="AF983" s="8" t="str" cm="1">
        <f t="array" ref="AF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3" s="2" t="b">
        <v>0</v>
      </c>
      <c r="AH983" s="9" t="b">
        <v>0</v>
      </c>
    </row>
    <row r="984" spans="1:34">
      <c r="A984" s="2" t="s">
        <v>3553</v>
      </c>
      <c r="B984">
        <v>1935</v>
      </c>
      <c r="C984">
        <v>1976</v>
      </c>
      <c r="D984" s="46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">
        <v>1754</v>
      </c>
      <c r="F984" s="46" t="str">
        <f>_xlfn.XLOOKUP(PROPERTIES[[#This Row],[COUNTRY]],COUNTRIES[COUNTRY_DESCRIPTION],COUNTRIES[COUNTRY_LABEL],"")</f>
        <v>DE</v>
      </c>
      <c r="G984" s="46" t="str" cm="1">
        <f t="array" ref="G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4" t="s">
        <v>19</v>
      </c>
      <c r="I984">
        <v>0</v>
      </c>
      <c r="J984">
        <v>8</v>
      </c>
      <c r="K984" s="46">
        <v>8</v>
      </c>
      <c r="L984" s="46" t="str" cm="1">
        <f t="array" ref="L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4" s="46">
        <f>_xlfn.XLOOKUP("LOADINGSPEEDDEF_"&amp;PROPERTIES[[#This Row],[LOADINGSPEED]],LOADINGSPEEDDEF[TYPE],LOADINGSPEEDDEF[SPEED])</f>
        <v>20</v>
      </c>
      <c r="N984" s="46" cm="1">
        <f t="array" ref="N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4">
        <f>IF(ISNUMBER(SEARCH("passenger",PROPERTIES[[#This Row],[CARGODEF]])),1,0)</f>
        <v>0</v>
      </c>
      <c r="P984" s="29">
        <v>108.5</v>
      </c>
      <c r="Q984">
        <v>3810</v>
      </c>
      <c r="R984">
        <v>150</v>
      </c>
      <c r="S984" s="26">
        <v>206</v>
      </c>
      <c r="T984" s="26">
        <f>IFERROR(PROPERTIES[[#This Row],[TE_STARTING_KN]]/(PROPERTIES[[#This Row],[WEIGHT]]*9.81),0)</f>
        <v>0.19353899200007516</v>
      </c>
      <c r="U984" s="26">
        <v>0</v>
      </c>
      <c r="V984" s="22">
        <f>ROUND(IF(IFERROR(PROPERTIES[[#This Row],[TE_COEFFICIENT_CALC]],0)=0,PROPERTIES[[#This Row],[TE_COEFFICIENT_MANUAL]],PROPERTIES[[#This Row],[TE_COEFFICIENT_CALC]]),3)</f>
        <v>0.19400000000000001</v>
      </c>
      <c r="W984" s="45" cm="1">
        <f t="array" ref="W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984" s="32">
        <v>0</v>
      </c>
      <c r="Y984" s="8">
        <v>0</v>
      </c>
      <c r="Z984" t="s">
        <v>869</v>
      </c>
      <c r="AA984" t="s">
        <v>868</v>
      </c>
      <c r="AB984" s="2" t="s">
        <v>886</v>
      </c>
      <c r="AC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4" s="2" t="str">
        <f>SUBSTITUTE(SUBSTITUTE(PROPERTIES[[#This Row],[PURCHASECOST_VALUE]], "PURCHASECOST_", ""), "_VALUE", "")</f>
        <v>ELECTRICENGINE</v>
      </c>
      <c r="AF984" s="8" t="str" cm="1">
        <f t="array" ref="AF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4" s="2" t="b">
        <v>0</v>
      </c>
      <c r="AH984" s="9" t="b">
        <v>0</v>
      </c>
    </row>
    <row r="985" spans="1:34">
      <c r="A985" s="2" t="s">
        <v>3556</v>
      </c>
      <c r="B985">
        <v>2027</v>
      </c>
      <c r="D985" s="46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">
        <v>1773</v>
      </c>
      <c r="F985" s="46" t="str">
        <f>_xlfn.XLOOKUP(PROPERTIES[[#This Row],[COUNTRY]],COUNTRIES[COUNTRY_DESCRIPTION],COUNTRIES[COUNTRY_LABEL],"")</f>
        <v>GB</v>
      </c>
      <c r="G985" s="46" t="str" cm="1">
        <f t="array" ref="G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5" t="s">
        <v>17</v>
      </c>
      <c r="I985">
        <f>INT(504/7)</f>
        <v>72</v>
      </c>
      <c r="J985">
        <v>8</v>
      </c>
      <c r="K985" s="46">
        <v>8</v>
      </c>
      <c r="L985" s="46" t="str" cm="1">
        <f t="array" ref="L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85" s="46">
        <f>_xlfn.XLOOKUP("LOADINGSPEEDDEF_"&amp;PROPERTIES[[#This Row],[LOADINGSPEED]],LOADINGSPEEDDEF[TYPE],LOADINGSPEEDDEF[SPEED])</f>
        <v>16</v>
      </c>
      <c r="N985" s="46" t="str" cm="1">
        <f t="array" ref="N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85">
        <f>IF(ISNUMBER(SEARCH("passenger",PROPERTIES[[#This Row],[CARGODEF]])),1,0)</f>
        <v>1</v>
      </c>
      <c r="P985" s="29">
        <f>500/8</f>
        <v>62.5</v>
      </c>
      <c r="Q985">
        <v>13400</v>
      </c>
      <c r="R985">
        <v>360</v>
      </c>
      <c r="S985" s="26">
        <f>370/2</f>
        <v>185</v>
      </c>
      <c r="T985" s="26">
        <f>IFERROR(PROPERTIES[[#This Row],[TE_STARTING_KN]]/(PROPERTIES[[#This Row],[WEIGHT]]*9.81),0)</f>
        <v>0.30173292558613657</v>
      </c>
      <c r="U985" s="26">
        <v>0</v>
      </c>
      <c r="V985" s="22">
        <f>ROUND(IF(IFERROR(PROPERTIES[[#This Row],[TE_COEFFICIENT_CALC]],0)=0,PROPERTIES[[#This Row],[TE_COEFFICIENT_MANUAL]],PROPERTIES[[#This Row],[TE_COEFFICIENT_CALC]]),3)</f>
        <v>0.30199999999999999</v>
      </c>
      <c r="W985" s="45" cm="1">
        <f t="array" ref="W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85" s="32">
        <f>300/4</f>
        <v>75</v>
      </c>
      <c r="Y985" s="8">
        <v>8</v>
      </c>
      <c r="Z985" s="8" t="s">
        <v>873</v>
      </c>
      <c r="AA985" s="9" t="s">
        <v>868</v>
      </c>
      <c r="AB985" s="9" t="s">
        <v>886</v>
      </c>
      <c r="AC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85" s="47" t="str">
        <f>SUBSTITUTE(SUBSTITUTE(PROPERTIES[[#This Row],[PURCHASECOST_VALUE]], "PURCHASECOST_", ""), "_VALUE", "")</f>
        <v>EMU</v>
      </c>
      <c r="AF985" s="8" t="str" cm="1">
        <f t="array" ref="AF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85" s="9"/>
      <c r="AH985" s="8"/>
    </row>
  </sheetData>
  <phoneticPr fontId="18" type="noConversion"/>
  <conditionalFormatting sqref="A893:A940">
    <cfRule type="containsText" dxfId="137" priority="92" operator="containsText" text=" ">
      <formula>NOT(ISERROR(SEARCH(" ",A893)))</formula>
    </cfRule>
  </conditionalFormatting>
  <conditionalFormatting sqref="A942:A943">
    <cfRule type="containsText" dxfId="136" priority="85" operator="containsText" text=" ">
      <formula>NOT(ISERROR(SEARCH(" ",A942)))</formula>
    </cfRule>
  </conditionalFormatting>
  <conditionalFormatting sqref="A946:A950">
    <cfRule type="containsText" dxfId="135" priority="74" operator="containsText" text=" ">
      <formula>NOT(ISERROR(SEARCH(" ",A946)))</formula>
    </cfRule>
  </conditionalFormatting>
  <conditionalFormatting sqref="A952:A953">
    <cfRule type="containsText" dxfId="134" priority="65" operator="containsText" text=" ">
      <formula>NOT(ISERROR(SEARCH(" ",A952)))</formula>
    </cfRule>
  </conditionalFormatting>
  <conditionalFormatting sqref="A956:A971">
    <cfRule type="containsText" dxfId="133" priority="32" operator="containsText" text=" ">
      <formula>NOT(ISERROR(SEARCH(" ",A956)))</formula>
    </cfRule>
  </conditionalFormatting>
  <conditionalFormatting sqref="A974:A977">
    <cfRule type="containsText" dxfId="132" priority="19" operator="containsText" text=" ">
      <formula>NOT(ISERROR(SEARCH(" ",A974)))</formula>
    </cfRule>
  </conditionalFormatting>
  <conditionalFormatting sqref="A979:A982">
    <cfRule type="containsText" dxfId="131" priority="4" operator="containsText" text=" ">
      <formula>NOT(ISERROR(SEARCH(" ",A979)))</formula>
    </cfRule>
  </conditionalFormatting>
  <conditionalFormatting sqref="I1:I1048576">
    <cfRule type="expression" dxfId="129" priority="71">
      <formula>AND(H1="NONE",I1&gt;0)</formula>
    </cfRule>
  </conditionalFormatting>
  <conditionalFormatting sqref="S829:S831 T974:V976 T979:V979 T982:V1048576">
    <cfRule type="cellIs" dxfId="128" priority="184" operator="equal">
      <formula>0</formula>
    </cfRule>
  </conditionalFormatting>
  <conditionalFormatting sqref="S898:S899">
    <cfRule type="cellIs" dxfId="127" priority="143" operator="equal">
      <formula>0</formula>
    </cfRule>
  </conditionalFormatting>
  <conditionalFormatting sqref="S914:S915">
    <cfRule type="cellIs" dxfId="126" priority="122" operator="equal">
      <formula>0</formula>
    </cfRule>
  </conditionalFormatting>
  <conditionalFormatting sqref="S975">
    <cfRule type="cellIs" dxfId="125" priority="23" operator="equal">
      <formula>0</formula>
    </cfRule>
  </conditionalFormatting>
  <conditionalFormatting sqref="S1:U825 T796:V799 T802:V803 T805:V806 T822:V823 T825:V825 S826:V826 S827:U827 S828:V828 T829:V831 S832:U832 T833:V880 S881:U886 T887:V890 S891:U891 T892:U892 S893:U893 T894:U894 S895:U895 T896:V908 S909:V909 S910:U913 T914:V937 S938:U938 T939:V940 S941:U941 T942:V957 S958:U960 T961:V964 S965:U968 T969:V969">
    <cfRule type="cellIs" dxfId="124" priority="230" operator="equal">
      <formula>0</formula>
    </cfRule>
  </conditionalFormatting>
  <conditionalFormatting sqref="S970:U973">
    <cfRule type="cellIs" dxfId="123" priority="28" operator="equal">
      <formula>0</formula>
    </cfRule>
  </conditionalFormatting>
  <conditionalFormatting sqref="S977:U978">
    <cfRule type="cellIs" dxfId="122" priority="16" operator="equal">
      <formula>0</formula>
    </cfRule>
  </conditionalFormatting>
  <conditionalFormatting sqref="S981:U981">
    <cfRule type="cellIs" dxfId="121" priority="7" operator="equal">
      <formula>0</formula>
    </cfRule>
  </conditionalFormatting>
  <conditionalFormatting sqref="T980:U980">
    <cfRule type="cellIs" dxfId="120" priority="11" operator="equal">
      <formula>0</formula>
    </cfRule>
  </conditionalFormatting>
  <conditionalFormatting sqref="Z572:Z586 AO792:AQ1048576">
    <cfRule type="cellIs" dxfId="119" priority="197" operator="equal">
      <formula>FALSE</formula>
    </cfRule>
  </conditionalFormatting>
  <conditionalFormatting sqref="Z653:Z718">
    <cfRule type="cellIs" dxfId="118" priority="198" operator="equal">
      <formula>FALSE</formula>
    </cfRule>
  </conditionalFormatting>
  <conditionalFormatting sqref="Z825:Z826">
    <cfRule type="cellIs" dxfId="117" priority="189" operator="equal">
      <formula>FALSE</formula>
    </cfRule>
  </conditionalFormatting>
  <conditionalFormatting sqref="Z881:Z882">
    <cfRule type="cellIs" dxfId="116" priority="176" operator="equal">
      <formula>FALSE</formula>
    </cfRule>
  </conditionalFormatting>
  <conditionalFormatting sqref="Z884">
    <cfRule type="cellIs" dxfId="115" priority="171" operator="equal">
      <formula>FALSE</formula>
    </cfRule>
  </conditionalFormatting>
  <conditionalFormatting sqref="Z886:Z890">
    <cfRule type="cellIs" dxfId="114" priority="172" operator="equal">
      <formula>FALSE</formula>
    </cfRule>
  </conditionalFormatting>
  <conditionalFormatting sqref="Z892:Z894">
    <cfRule type="cellIs" dxfId="113" priority="157" operator="equal">
      <formula>FALSE</formula>
    </cfRule>
  </conditionalFormatting>
  <conditionalFormatting sqref="Z951:Z957">
    <cfRule type="cellIs" dxfId="112" priority="70" operator="equal">
      <formula>FALSE</formula>
    </cfRule>
  </conditionalFormatting>
  <conditionalFormatting sqref="Z959:Z964">
    <cfRule type="cellIs" dxfId="111" priority="51" operator="equal">
      <formula>FALSE</formula>
    </cfRule>
  </conditionalFormatting>
  <conditionalFormatting sqref="Z966:Z974">
    <cfRule type="cellIs" dxfId="110" priority="35" operator="equal">
      <formula>FALSE</formula>
    </cfRule>
  </conditionalFormatting>
  <conditionalFormatting sqref="Z1:AB571 AA572:AB586 Z587:AB652 AA653:AB718 Z719:AB798">
    <cfRule type="cellIs" dxfId="109" priority="221" operator="equal">
      <formula>FALSE</formula>
    </cfRule>
  </conditionalFormatting>
  <conditionalFormatting sqref="Z800:AB802">
    <cfRule type="cellIs" dxfId="108" priority="217" operator="equal">
      <formula>FALSE</formula>
    </cfRule>
  </conditionalFormatting>
  <conditionalFormatting sqref="Z804:AB821">
    <cfRule type="cellIs" dxfId="107" priority="192" operator="equal">
      <formula>FALSE</formula>
    </cfRule>
  </conditionalFormatting>
  <conditionalFormatting sqref="Z824:AB824">
    <cfRule type="cellIs" dxfId="106" priority="190" operator="equal">
      <formula>FALSE</formula>
    </cfRule>
  </conditionalFormatting>
  <conditionalFormatting sqref="Z827:AB827">
    <cfRule type="cellIs" dxfId="105" priority="186" operator="equal">
      <formula>FALSE</formula>
    </cfRule>
  </conditionalFormatting>
  <conditionalFormatting sqref="Z832:AB833">
    <cfRule type="cellIs" dxfId="104" priority="182" operator="equal">
      <formula>FALSE</formula>
    </cfRule>
  </conditionalFormatting>
  <conditionalFormatting sqref="Z883:AB883">
    <cfRule type="cellIs" dxfId="103" priority="178" operator="equal">
      <formula>FALSE</formula>
    </cfRule>
  </conditionalFormatting>
  <conditionalFormatting sqref="Z885:AB885">
    <cfRule type="cellIs" dxfId="102" priority="174" operator="equal">
      <formula>FALSE</formula>
    </cfRule>
  </conditionalFormatting>
  <conditionalFormatting sqref="Z891:AB891">
    <cfRule type="cellIs" dxfId="101" priority="159" operator="equal">
      <formula>FALSE</formula>
    </cfRule>
  </conditionalFormatting>
  <conditionalFormatting sqref="Z895:AB895">
    <cfRule type="cellIs" dxfId="100" priority="151" operator="equal">
      <formula>FALSE</formula>
    </cfRule>
  </conditionalFormatting>
  <conditionalFormatting sqref="Z938:AB938">
    <cfRule type="cellIs" dxfId="99" priority="97" operator="equal">
      <formula>FALSE</formula>
    </cfRule>
  </conditionalFormatting>
  <conditionalFormatting sqref="Z941:AB950">
    <cfRule type="cellIs" dxfId="98" priority="73" operator="equal">
      <formula>FALSE</formula>
    </cfRule>
  </conditionalFormatting>
  <conditionalFormatting sqref="Z958:AB958">
    <cfRule type="cellIs" dxfId="97" priority="60" operator="equal">
      <formula>FALSE</formula>
    </cfRule>
  </conditionalFormatting>
  <conditionalFormatting sqref="Z965:AB965">
    <cfRule type="cellIs" dxfId="96" priority="47" operator="equal">
      <formula>FALSE</formula>
    </cfRule>
  </conditionalFormatting>
  <conditionalFormatting sqref="Z977:AB978">
    <cfRule type="cellIs" dxfId="95" priority="15" operator="equal">
      <formula>FALSE</formula>
    </cfRule>
  </conditionalFormatting>
  <conditionalFormatting sqref="Z981:AB981">
    <cfRule type="cellIs" dxfId="94" priority="6" operator="equal">
      <formula>FALSE</formula>
    </cfRule>
  </conditionalFormatting>
  <conditionalFormatting sqref="AA822:AA823">
    <cfRule type="cellIs" dxfId="93" priority="191" operator="equal">
      <formula>FALSE</formula>
    </cfRule>
  </conditionalFormatting>
  <conditionalFormatting sqref="AA825:AA826">
    <cfRule type="cellIs" dxfId="92" priority="187" operator="equal">
      <formula>FALSE</formula>
    </cfRule>
  </conditionalFormatting>
  <conditionalFormatting sqref="AA828:AA831">
    <cfRule type="cellIs" dxfId="91" priority="185" operator="equal">
      <formula>FALSE</formula>
    </cfRule>
  </conditionalFormatting>
  <conditionalFormatting sqref="AA835:AA840 AA842:AA880">
    <cfRule type="cellIs" dxfId="90" priority="181" operator="equal">
      <formula>FALSE</formula>
    </cfRule>
  </conditionalFormatting>
  <conditionalFormatting sqref="AA890">
    <cfRule type="cellIs" dxfId="89" priority="160" operator="equal">
      <formula>FALSE</formula>
    </cfRule>
  </conditionalFormatting>
  <conditionalFormatting sqref="AA939:AA940">
    <cfRule type="cellIs" dxfId="88" priority="95" operator="equal">
      <formula>FALSE</formula>
    </cfRule>
  </conditionalFormatting>
  <conditionalFormatting sqref="AA952:AA957">
    <cfRule type="cellIs" dxfId="87" priority="64" operator="equal">
      <formula>FALSE</formula>
    </cfRule>
  </conditionalFormatting>
  <conditionalFormatting sqref="AA961:AA964">
    <cfRule type="cellIs" dxfId="86" priority="50" operator="equal">
      <formula>FALSE</formula>
    </cfRule>
  </conditionalFormatting>
  <conditionalFormatting sqref="AA803:AB803">
    <cfRule type="cellIs" dxfId="85" priority="216" operator="equal">
      <formula>FALSE</formula>
    </cfRule>
  </conditionalFormatting>
  <conditionalFormatting sqref="AA881:AB882">
    <cfRule type="cellIs" dxfId="84" priority="179" operator="equal">
      <formula>FALSE</formula>
    </cfRule>
  </conditionalFormatting>
  <conditionalFormatting sqref="AA884:AB884">
    <cfRule type="cellIs" dxfId="83" priority="175" operator="equal">
      <formula>FALSE</formula>
    </cfRule>
  </conditionalFormatting>
  <conditionalFormatting sqref="AA886:AB889">
    <cfRule type="cellIs" dxfId="82" priority="162" operator="equal">
      <formula>FALSE</formula>
    </cfRule>
  </conditionalFormatting>
  <conditionalFormatting sqref="AA892:AB894">
    <cfRule type="cellIs" dxfId="81" priority="153" operator="equal">
      <formula>FALSE</formula>
    </cfRule>
  </conditionalFormatting>
  <conditionalFormatting sqref="AA951:AB951">
    <cfRule type="cellIs" dxfId="80" priority="69" operator="equal">
      <formula>FALSE</formula>
    </cfRule>
  </conditionalFormatting>
  <conditionalFormatting sqref="AA959:AB960">
    <cfRule type="cellIs" dxfId="79" priority="56" operator="equal">
      <formula>FALSE</formula>
    </cfRule>
  </conditionalFormatting>
  <conditionalFormatting sqref="AA966:AB976">
    <cfRule type="cellIs" dxfId="78" priority="20" operator="equal">
      <formula>FALSE</formula>
    </cfRule>
  </conditionalFormatting>
  <conditionalFormatting sqref="AA979:AB980">
    <cfRule type="cellIs" dxfId="77" priority="9" operator="equal">
      <formula>FALSE</formula>
    </cfRule>
  </conditionalFormatting>
  <conditionalFormatting sqref="AB825:AB826">
    <cfRule type="cellIs" dxfId="76" priority="188" operator="equal">
      <formula>FALSE</formula>
    </cfRule>
  </conditionalFormatting>
  <conditionalFormatting sqref="AB897">
    <cfRule type="cellIs" dxfId="75" priority="145" operator="equal">
      <formula>FALSE</formula>
    </cfRule>
  </conditionalFormatting>
  <conditionalFormatting sqref="AB899">
    <cfRule type="cellIs" dxfId="74" priority="141" operator="equal">
      <formula>FALSE</formula>
    </cfRule>
  </conditionalFormatting>
  <conditionalFormatting sqref="AB902:AB937">
    <cfRule type="cellIs" dxfId="73" priority="128" operator="equal">
      <formula>FALSE</formula>
    </cfRule>
  </conditionalFormatting>
  <conditionalFormatting sqref="AB952:AB957">
    <cfRule type="cellIs" dxfId="72" priority="66" operator="equal">
      <formula>FALSE</formula>
    </cfRule>
  </conditionalFormatting>
  <conditionalFormatting sqref="AB982:AB983">
    <cfRule type="cellIs" dxfId="71" priority="3" operator="equal">
      <formula>FALSE</formula>
    </cfRule>
  </conditionalFormatting>
  <conditionalFormatting sqref="AC2:AC985">
    <cfRule type="cellIs" dxfId="70" priority="166" operator="equal">
      <formula>FALSE</formula>
    </cfRule>
  </conditionalFormatting>
  <conditionalFormatting sqref="AD2:AD985">
    <cfRule type="cellIs" dxfId="69" priority="150" operator="equal">
      <formula>FALSE</formula>
    </cfRule>
  </conditionalFormatting>
  <conditionalFormatting sqref="AG2:AG985">
    <cfRule type="containsText" dxfId="68" priority="215" operator="containsText" text="FALSE">
      <formula>NOT(ISERROR(SEARCH("FALSE",AG2)))</formula>
    </cfRule>
  </conditionalFormatting>
  <conditionalFormatting sqref="AH2:AH985">
    <cfRule type="cellIs" dxfId="67" priority="94" operator="equal">
      <formula>FALSE</formula>
    </cfRule>
  </conditionalFormatting>
  <conditionalFormatting sqref="AN790:AP791">
    <cfRule type="cellIs" dxfId="66" priority="231" operator="equal">
      <formula>FALSE</formula>
    </cfRule>
  </conditionalFormatting>
  <conditionalFormatting sqref="Z984:AB984">
    <cfRule type="cellIs" dxfId="23" priority="2" operator="equal">
      <formula>FALSE</formula>
    </cfRule>
  </conditionalFormatting>
  <conditionalFormatting sqref="A985">
    <cfRule type="containsText" dxfId="19" priority="1" operator="containsText" text=" ">
      <formula>NOT(ISERROR(SEARCH(" ",A985)))</formula>
    </cfRule>
  </conditionalFormatting>
  <dataValidations count="15">
    <dataValidation type="whole" operator="greaterThanOrEqual" allowBlank="1" showInputMessage="1" showErrorMessage="1" sqref="X2:Y985 I2:I985 Q2:R985 O2:O985" xr:uid="{699258F9-37E8-437E-9547-ACEA0AFD7DA4}">
      <formula1>0</formula1>
    </dataValidation>
    <dataValidation type="decimal" operator="greaterThanOrEqual" allowBlank="1" showInputMessage="1" showErrorMessage="1" sqref="P2:P985 S2:V985" xr:uid="{F342F512-E760-4CD3-801B-E5B9CF70B7FD}">
      <formula1>0</formula1>
    </dataValidation>
    <dataValidation operator="greaterThanOrEqual" allowBlank="1" showInputMessage="1" showErrorMessage="1" sqref="AJ790:AK791 AK792:AL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G896" xr:uid="{EB4398F4-10E4-463B-A52E-1F5C116A99EF}">
      <formula1>INDIRECT("VALID_ENGINE_CLASS[ENGINE_CLASS]")</formula1>
    </dataValidation>
    <dataValidation type="list" allowBlank="1" showInputMessage="1" showErrorMessage="1" sqref="E2:E985" xr:uid="{33652263-03A3-437A-966A-BE8C0F8BE076}">
      <formula1>INDIRECT("COUNTRIES[COUNTRY_DESCRIPTION]")</formula1>
    </dataValidation>
    <dataValidation type="list" allowBlank="1" showInputMessage="1" showErrorMessage="1" sqref="F2:F985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85" xr:uid="{F2DE25A7-EAF4-4DA6-85FD-9F7B7EE18717}">
      <formula1>"TRUE,FALSE"</formula1>
    </dataValidation>
    <dataValidation type="list" allowBlank="1" showInputMessage="1" showErrorMessage="1" sqref="Z981:AA981 AA975:AA976 Z977:AA978 AA979:AA980 Z2:AA974 Z984:AA984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60 AB965:AB984" xr:uid="{B551DD41-9C48-4DAD-97B1-4A99C17182E4}">
      <formula1>INDIRECT("VALID_CONCEPTS[VALID_CONCEPTS]")</formula1>
    </dataValidation>
    <dataValidation type="whole" operator="greaterThan" allowBlank="1" showInputMessage="1" showErrorMessage="1" sqref="K2:K985" xr:uid="{870AF9CD-1FF5-4186-831D-7CE6637E02C8}">
      <formula1>1</formula1>
    </dataValidation>
    <dataValidation type="whole" allowBlank="1" showInputMessage="1" showErrorMessage="1" sqref="J2:J985" xr:uid="{607F370E-253D-4A13-94DF-726661E11AFB}">
      <formula1>1</formula1>
      <formula2>8</formula2>
    </dataValidation>
    <dataValidation type="list" allowBlank="1" showInputMessage="1" showErrorMessage="1" sqref="H2:H985" xr:uid="{B4C03D86-C7FA-4754-AA46-736C1B535A70}">
      <formula1>INDIRECT("CARGODEF[CARGODEF]")</formula1>
    </dataValidation>
    <dataValidation operator="greaterThan" allowBlank="1" showInputMessage="1" showErrorMessage="1" sqref="L1:L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F572 F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2" id="{2DF549D0-9C7F-4C30-99F2-6EAA1082651B}">
            <xm:f>AND(ISBLANK(E1),_xlfn.XLOOKUP(A1,'control'!$A:$A,'control'!$I:$I)=FALSE)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E1:E1048576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AB941:AB960 AB965:AB984</xm:sqref>
        </x14:dataValidation>
        <x14:dataValidation type="list" allowBlank="1" showInputMessage="1" showErrorMessage="1" xr:uid="{D4C54DB9-37D9-40FC-855E-DB3DF3255EE2}">
          <x14:formula1>
            <xm:f>item_validation!$A$2:$A$20</xm:f>
          </x14:formula1>
          <xm:sqref>Z981:AA981 AA975:AA976 Z977:AA978 AA979:AA980 Z2:AA974 Z984:AA984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85"/>
  <sheetViews>
    <sheetView zoomScaleNormal="100" workbookViewId="0">
      <pane xSplit="1" ySplit="1" topLeftCell="B981" activePane="bottomRight" state="frozen"/>
      <selection pane="topRight" activeCell="B1" sqref="B1"/>
      <selection pane="bottomLeft" activeCell="A2" sqref="A2"/>
      <selection pane="bottomRight" activeCell="A985" sqref="A985"/>
    </sheetView>
  </sheetViews>
  <sheetFormatPr defaultRowHeight="14.6"/>
  <cols>
    <col min="1" max="1" width="50.69140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23046875" bestFit="1" customWidth="1"/>
    <col min="33" max="35" width="12.84375" customWidth="1"/>
    <col min="36" max="36" width="12.3828125" bestFit="1" customWidth="1"/>
    <col min="37" max="37" width="14.69140625" bestFit="1" customWidth="1"/>
    <col min="41" max="42" width="18.23046875" bestFit="1" customWidth="1"/>
    <col min="43" max="43" width="22.2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889</v>
      </c>
      <c r="AG1" s="14" t="s">
        <v>3047</v>
      </c>
      <c r="AH1" s="14" t="s">
        <v>3048</v>
      </c>
      <c r="AI1" s="14" t="s">
        <v>3049</v>
      </c>
      <c r="AJ1" s="14" t="s">
        <v>3050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3045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560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3310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3311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1693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2739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2873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2875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2877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2879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2892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2894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2896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2898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2900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2901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2903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2907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3029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3030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3003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2998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2999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3000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3001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3002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3037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3014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3031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3034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3038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3041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3054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3055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3058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3062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3063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3066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3070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3072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3074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3076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3079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3081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3084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3087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3090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3093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3095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3098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3101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3104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3107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3110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3114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3115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3117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3119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3124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3127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3130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3131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3133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3137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3139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3144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3145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3148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3151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3153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3155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3158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3160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3166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3171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3163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3172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3173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3174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3179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3183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3186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3187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3190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3192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3196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3199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3204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3207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3209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3213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3216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3219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3221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3224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3227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3231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3233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3236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3238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3241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3244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3248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3261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3255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3259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3262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3266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3269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3279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3281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3285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3289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3291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3292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3303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3302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3298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3304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3307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3316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3319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3322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3325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3328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3330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3331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3334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3335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3338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3339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3342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3344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3346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3348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3350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3352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3353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3358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3360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3361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3363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3365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3366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3374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3375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3377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3380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3383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3385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3389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3393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3396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3406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3410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3413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3414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3417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3420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3422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3426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3429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3430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3435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3439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3440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3442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3444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3446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3448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3450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3453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3454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3459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3461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3464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3468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3469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3482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3485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3488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3491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3494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3496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3501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3503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3506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3511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3526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3527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3530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3532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3535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3539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3541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3547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3550</v>
      </c>
      <c r="B983" s="46"/>
      <c r="C983" s="46"/>
      <c r="D983" s="46"/>
      <c r="E983" s="46"/>
      <c r="F983" s="46"/>
      <c r="G983" s="46"/>
      <c r="H983" s="46"/>
      <c r="I983" s="46"/>
      <c r="J983" s="47"/>
      <c r="K983" s="46"/>
      <c r="L983" s="46"/>
      <c r="M983" s="46"/>
      <c r="N983" s="46"/>
      <c r="O983" s="46"/>
      <c r="P983" s="46"/>
      <c r="Q983" s="46"/>
      <c r="R983" s="46"/>
      <c r="S983" s="47"/>
      <c r="T983" s="46"/>
      <c r="U983" s="46"/>
      <c r="V983" s="46"/>
      <c r="W983" s="46" t="b">
        <v>1</v>
      </c>
      <c r="X983" s="46" t="b">
        <v>1</v>
      </c>
      <c r="Y983" s="46"/>
      <c r="Z983" s="46"/>
      <c r="AA983" s="46"/>
      <c r="AB983" s="47"/>
      <c r="AC983" s="46"/>
      <c r="AD983" s="46"/>
      <c r="AE983" s="47"/>
      <c r="AF983" s="47" t="b">
        <f>LEN(_xlfn.CONCAT(TRACK_TYPES[[#This Row],[TRACK_TYPE_STANDARD_GAUGE_RAILTYPE_OHLE]:[TRACK_TYPE_MTRO]]))&gt;0</f>
        <v>1</v>
      </c>
      <c r="AG983" s="47" t="b" cm="1">
        <f t="array" ref="AG983">IFERROR(_xlfn.BYROW(TRACK_TYPES[[#This Row],[TRACK_TYPE_STANDARD_GAUGE_RAILTYPE_OHLE]:[TRACK_TYPE_STANDARD_GAUGE_RAILTYPE_NONE]],_xlfn.LAMBDA(_xlpm.r,OR(_xlpm.r))),FALSE)</f>
        <v>0</v>
      </c>
      <c r="AH983" s="47" t="b" cm="1">
        <f t="array" ref="AH983">IFERROR(_xlfn.BYROW(TRACK_TYPES[[#This Row],[TRACK_TYPE_NARROW_GAUGE_RAILTYPE_OHLE]:[TRACK_TYPE_NARROW_GAUGE_RAILTYPE_NONE]],_xlfn.LAMBDA(_xlpm.r,OR(_xlpm.r))),FALSE)</f>
        <v>0</v>
      </c>
      <c r="AI983" s="47" t="b" cm="1">
        <f t="array" ref="AI983">IFERROR(_xlfn.BYROW(TRACK_TYPES[[#This Row],[TRACK_TYPE_BROAD_GAUGE_RAILTYPE_OHLE]:[TRACK_TYPE_BROAD_GAUGE_RAILTYPE_NONE]],_xlfn.LAMBDA(_xlpm.r,OR(_xlpm.r))),FALSE)</f>
        <v>1</v>
      </c>
      <c r="AJ9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3553</v>
      </c>
      <c r="B984" s="46"/>
      <c r="C984" s="46"/>
      <c r="D984" s="46" t="b">
        <v>1</v>
      </c>
      <c r="E984" s="46"/>
      <c r="F984" s="46"/>
      <c r="G984" s="46"/>
      <c r="H984" s="46"/>
      <c r="I984" s="46"/>
      <c r="J984" s="47"/>
      <c r="K984" s="46"/>
      <c r="L984" s="46"/>
      <c r="M984" s="46"/>
      <c r="N984" s="46"/>
      <c r="O984" s="46"/>
      <c r="P984" s="46"/>
      <c r="Q984" s="46"/>
      <c r="R984" s="46"/>
      <c r="S984" s="47"/>
      <c r="T984" s="46"/>
      <c r="U984" s="46"/>
      <c r="V984" s="46"/>
      <c r="W984" s="46"/>
      <c r="X984" s="46"/>
      <c r="Y984" s="46"/>
      <c r="Z984" s="46"/>
      <c r="AA984" s="46"/>
      <c r="AB984" s="47"/>
      <c r="AC984" s="46"/>
      <c r="AD984" s="46"/>
      <c r="AE984" s="47"/>
      <c r="AF984" s="47" t="b">
        <f>LEN(_xlfn.CONCAT(TRACK_TYPES[[#This Row],[TRACK_TYPE_STANDARD_GAUGE_RAILTYPE_OHLE]:[TRACK_TYPE_MTRO]]))&gt;0</f>
        <v>1</v>
      </c>
      <c r="AG984" s="47" t="b" cm="1">
        <f t="array" ref="AG984">IFERROR(_xlfn.BYROW(TRACK_TYPES[[#This Row],[TRACK_TYPE_STANDARD_GAUGE_RAILTYPE_OHLE]:[TRACK_TYPE_STANDARD_GAUGE_RAILTYPE_NONE]],_xlfn.LAMBDA(_xlpm.r,OR(_xlpm.r))),FALSE)</f>
        <v>1</v>
      </c>
      <c r="AH984" s="47" t="b" cm="1">
        <f t="array" ref="AH984">IFERROR(_xlfn.BYROW(TRACK_TYPES[[#This Row],[TRACK_TYPE_NARROW_GAUGE_RAILTYPE_OHLE]:[TRACK_TYPE_NARROW_GAUGE_RAILTYPE_NONE]],_xlfn.LAMBDA(_xlpm.r,OR(_xlpm.r))),FALSE)</f>
        <v>0</v>
      </c>
      <c r="AI984" s="47" t="b" cm="1">
        <f t="array" ref="AI984">IFERROR(_xlfn.BYROW(TRACK_TYPES[[#This Row],[TRACK_TYPE_BROAD_GAUGE_RAILTYPE_OHLE]:[TRACK_TYPE_BROAD_GAUGE_RAILTYPE_NONE]],_xlfn.LAMBDA(_xlpm.r,OR(_xlpm.r))),FALSE)</f>
        <v>0</v>
      </c>
      <c r="AJ9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3556</v>
      </c>
      <c r="B985" s="46"/>
      <c r="C985" s="46" t="b">
        <v>1</v>
      </c>
      <c r="D985" s="46"/>
      <c r="E985" s="46"/>
      <c r="F985" s="46"/>
      <c r="G985" s="46"/>
      <c r="H985" s="46"/>
      <c r="I985" s="46"/>
      <c r="J985" s="47"/>
      <c r="K985" s="46"/>
      <c r="L985" s="46"/>
      <c r="M985" s="46"/>
      <c r="N985" s="46"/>
      <c r="O985" s="46"/>
      <c r="P985" s="46"/>
      <c r="Q985" s="46"/>
      <c r="R985" s="46"/>
      <c r="S985" s="47"/>
      <c r="T985" s="46"/>
      <c r="U985" s="46"/>
      <c r="V985" s="46"/>
      <c r="W985" s="46"/>
      <c r="X985" s="46"/>
      <c r="Y985" s="46"/>
      <c r="Z985" s="46"/>
      <c r="AA985" s="46"/>
      <c r="AB985" s="47"/>
      <c r="AC985" s="46"/>
      <c r="AD985" s="46"/>
      <c r="AE985" s="47"/>
      <c r="AF985" s="47" t="b">
        <f>LEN(_xlfn.CONCAT(TRACK_TYPES[[#This Row],[TRACK_TYPE_STANDARD_GAUGE_RAILTYPE_OHLE]:[TRACK_TYPE_MTRO]]))&gt;0</f>
        <v>1</v>
      </c>
      <c r="AG985" s="47" t="b" cm="1">
        <f t="array" ref="AG985">IFERROR(_xlfn.BYROW(TRACK_TYPES[[#This Row],[TRACK_TYPE_STANDARD_GAUGE_RAILTYPE_OHLE]:[TRACK_TYPE_STANDARD_GAUGE_RAILTYPE_NONE]],_xlfn.LAMBDA(_xlpm.r,OR(_xlpm.r))),FALSE)</f>
        <v>1</v>
      </c>
      <c r="AH985" s="47" t="b" cm="1">
        <f t="array" ref="AH985">IFERROR(_xlfn.BYROW(TRACK_TYPES[[#This Row],[TRACK_TYPE_NARROW_GAUGE_RAILTYPE_OHLE]:[TRACK_TYPE_NARROW_GAUGE_RAILTYPE_NONE]],_xlfn.LAMBDA(_xlpm.r,OR(_xlpm.r))),FALSE)</f>
        <v>0</v>
      </c>
      <c r="AI985" s="47" t="b" cm="1">
        <f t="array" ref="AI985">IFERROR(_xlfn.BYROW(TRACK_TYPES[[#This Row],[TRACK_TYPE_BROAD_GAUGE_RAILTYPE_OHLE]:[TRACK_TYPE_BROAD_GAUGE_RAILTYPE_NONE]],_xlfn.LAMBDA(_xlpm.r,OR(_xlpm.r))),FALSE)</f>
        <v>0</v>
      </c>
      <c r="AJ9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65" priority="34" operator="containsText" text=" ">
      <formula>NOT(ISERROR(SEARCH(" ",A893)))</formula>
    </cfRule>
  </conditionalFormatting>
  <conditionalFormatting sqref="A942:A943">
    <cfRule type="containsText" dxfId="64" priority="32" operator="containsText" text=" ">
      <formula>NOT(ISERROR(SEARCH(" ",A942)))</formula>
    </cfRule>
  </conditionalFormatting>
  <conditionalFormatting sqref="A946:A950">
    <cfRule type="containsText" dxfId="63" priority="28" operator="containsText" text=" ">
      <formula>NOT(ISERROR(SEARCH(" ",A946)))</formula>
    </cfRule>
  </conditionalFormatting>
  <conditionalFormatting sqref="A952:A953">
    <cfRule type="containsText" dxfId="62" priority="26" operator="containsText" text=" ">
      <formula>NOT(ISERROR(SEARCH(" ",A952)))</formula>
    </cfRule>
  </conditionalFormatting>
  <conditionalFormatting sqref="A956:A971">
    <cfRule type="containsText" dxfId="61" priority="10" operator="containsText" text=" ">
      <formula>NOT(ISERROR(SEARCH(" ",A956)))</formula>
    </cfRule>
  </conditionalFormatting>
  <conditionalFormatting sqref="A974:A977">
    <cfRule type="containsText" dxfId="60" priority="6" operator="containsText" text=" ">
      <formula>NOT(ISERROR(SEARCH(" ",A974)))</formula>
    </cfRule>
  </conditionalFormatting>
  <conditionalFormatting sqref="A979:A982">
    <cfRule type="containsText" dxfId="59" priority="2" operator="containsText" text=" ">
      <formula>NOT(ISERROR(SEARCH(" ",A979)))</formula>
    </cfRule>
  </conditionalFormatting>
  <conditionalFormatting sqref="AF1:AF1048576 AH790:AJ1048576">
    <cfRule type="cellIs" dxfId="58" priority="89" operator="equal">
      <formula>FALSE</formula>
    </cfRule>
  </conditionalFormatting>
  <conditionalFormatting sqref="AG1:AI1">
    <cfRule type="cellIs" dxfId="57" priority="84" operator="equal">
      <formula>FALSE</formula>
    </cfRule>
  </conditionalFormatting>
  <conditionalFormatting sqref="AJ1">
    <cfRule type="cellIs" dxfId="56" priority="83" operator="equal">
      <formula>FALSE</formula>
    </cfRule>
  </conditionalFormatting>
  <conditionalFormatting sqref="A985">
    <cfRule type="containsText" dxfId="14" priority="1" operator="containsText" text=" ">
      <formula>NOT(ISERROR(SEARCH(" ",A985)))</formula>
    </cfRule>
  </conditionalFormatting>
  <dataValidations count="1">
    <dataValidation type="list" allowBlank="1" showInputMessage="1" showErrorMessage="1" sqref="AO790:AS1048576 AH790:AK1048576 AB2:AB922 J912:J917 K912:S912 J913:S913 K914:S916 J933 J958:J960 S917:S950 AB926:AB950 J979:J980 B2:I985 S952:S976 K979:S1048576 J977:S978 AB954:AB1048576 K814:R977 T2:AA1048576 AC2:AF1048576 J2:S91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A985" sqref="A985"/>
    </sheetView>
  </sheetViews>
  <sheetFormatPr defaultRowHeight="14.6"/>
  <cols>
    <col min="1" max="1" width="50.69140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2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69140625" bestFit="1" customWidth="1"/>
    <col min="18" max="19" width="18.23046875" bestFit="1" customWidth="1"/>
    <col min="20" max="20" width="22.2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7" t="s">
        <v>682</v>
      </c>
      <c r="C1" s="14" t="s">
        <v>683</v>
      </c>
      <c r="D1" s="4" t="s">
        <v>3438</v>
      </c>
      <c r="E1" s="4" t="s">
        <v>684</v>
      </c>
      <c r="F1" s="4" t="s">
        <v>2952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3045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3310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3311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1692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1693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2739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2873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2875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2877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2879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2892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2894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2896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2898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2900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2901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2903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2907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3029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3030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3003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2998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2999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3000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3001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3002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3037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3014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3031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3034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3038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3041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3054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3055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3058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3062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3063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3066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3070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3072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3074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3076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3079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3081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3084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3087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3090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3093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3095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3098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3101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3104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3107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3110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3114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3115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3117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3119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3124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3127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3130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3131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3133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3137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3139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3144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3145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3148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3151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3153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3155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3158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3160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3166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3171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3163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3172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3173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3174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3179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3183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3186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3187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3190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3192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3196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3199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3204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3207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3209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3213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3216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3219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3221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3224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3227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3231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3233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3236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3238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3241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3244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3248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3261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3255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3259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3262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3266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3269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3279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3281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3285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3289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3291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3292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3303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3302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3298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3304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3307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3316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3319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3322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3325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3328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3330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3331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3334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3335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3338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3339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3342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3344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3346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3348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3350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3352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3353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3358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3360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3361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3363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3365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3366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3374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3375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3377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3380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3383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3385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3389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3393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3396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3406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3410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3413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3414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3417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3420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3422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3426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3429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3430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3435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3439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3440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3442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3444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3446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3448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3450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3453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3454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3459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3461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3464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3468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3469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 t="s">
        <v>3482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707</v>
      </c>
    </row>
    <row r="966" spans="1:9">
      <c r="A966" s="2" t="s">
        <v>3485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707</v>
      </c>
    </row>
    <row r="967" spans="1:9">
      <c r="A967" s="2" t="s">
        <v>3488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707</v>
      </c>
    </row>
    <row r="968" spans="1:9">
      <c r="A968" s="2" t="s">
        <v>3491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707</v>
      </c>
    </row>
    <row r="969" spans="1:9">
      <c r="A969" s="2" t="s">
        <v>3494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707</v>
      </c>
    </row>
    <row r="970" spans="1:9">
      <c r="A970" s="2" t="s">
        <v>3496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707</v>
      </c>
    </row>
    <row r="971" spans="1:9">
      <c r="A971" t="s">
        <v>3501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707</v>
      </c>
    </row>
    <row r="972" spans="1:9">
      <c r="A972" s="2" t="s">
        <v>3503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707</v>
      </c>
    </row>
    <row r="973" spans="1:9">
      <c r="A973" s="2" t="s">
        <v>3506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707</v>
      </c>
    </row>
    <row r="974" spans="1:9">
      <c r="A974" s="2" t="s">
        <v>3511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707</v>
      </c>
    </row>
    <row r="975" spans="1:9">
      <c r="A975" s="2" t="s">
        <v>3526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707</v>
      </c>
    </row>
    <row r="976" spans="1:9">
      <c r="A976" s="2" t="s">
        <v>3527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707</v>
      </c>
    </row>
    <row r="977" spans="1:9">
      <c r="A977" s="2" t="s">
        <v>3530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707</v>
      </c>
    </row>
    <row r="978" spans="1:9">
      <c r="A978" s="2" t="s">
        <v>3532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707</v>
      </c>
    </row>
    <row r="979" spans="1:9">
      <c r="A979" s="2" t="s">
        <v>3535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707</v>
      </c>
    </row>
    <row r="980" spans="1:9">
      <c r="A980" s="2" t="s">
        <v>3539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707</v>
      </c>
    </row>
    <row r="981" spans="1:9">
      <c r="A981" s="2" t="s">
        <v>3541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707</v>
      </c>
    </row>
    <row r="982" spans="1:9">
      <c r="A982" s="2" t="s">
        <v>3547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707</v>
      </c>
    </row>
    <row r="983" spans="1:9">
      <c r="A983" s="2" t="s">
        <v>3550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707</v>
      </c>
    </row>
    <row r="984" spans="1:9">
      <c r="A984" s="2" t="s">
        <v>3553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707</v>
      </c>
    </row>
    <row r="985" spans="1:9">
      <c r="A985" s="2" t="s">
        <v>3556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707</v>
      </c>
    </row>
    <row r="986" spans="1:9">
      <c r="A986" s="2"/>
      <c r="B986" t="b">
        <v>1</v>
      </c>
      <c r="C98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6" s="2" t="b">
        <v>0</v>
      </c>
      <c r="E986" s="2" t="b">
        <v>0</v>
      </c>
      <c r="F986" s="2" t="b">
        <v>0</v>
      </c>
      <c r="G98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6" s="8">
        <v>0</v>
      </c>
      <c r="I986" t="s">
        <v>707</v>
      </c>
    </row>
    <row r="987" spans="1:9">
      <c r="A987" s="2"/>
      <c r="B987" t="b">
        <v>1</v>
      </c>
      <c r="C98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7" s="2" t="b">
        <v>0</v>
      </c>
      <c r="E987" s="2" t="b">
        <v>0</v>
      </c>
      <c r="F987" s="2" t="b">
        <v>0</v>
      </c>
      <c r="G98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7" s="8">
        <v>0</v>
      </c>
      <c r="I987" t="s">
        <v>707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707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707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707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707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707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707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707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707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707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707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707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707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707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707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707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707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707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707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707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707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707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707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707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707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707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707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707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707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707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707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707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707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707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707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707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707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707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707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707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707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707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707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707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707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707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707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707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707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707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707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707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707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707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707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707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707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707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707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707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707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707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707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707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707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707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707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707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707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707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707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707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707</v>
      </c>
    </row>
  </sheetData>
  <conditionalFormatting sqref="A893:A940">
    <cfRule type="containsText" dxfId="55" priority="35" operator="containsText" text=" ">
      <formula>NOT(ISERROR(SEARCH(" ",A893)))</formula>
    </cfRule>
  </conditionalFormatting>
  <conditionalFormatting sqref="A942:A943">
    <cfRule type="containsText" dxfId="54" priority="33" operator="containsText" text=" ">
      <formula>NOT(ISERROR(SEARCH(" ",A942)))</formula>
    </cfRule>
  </conditionalFormatting>
  <conditionalFormatting sqref="A946:A950">
    <cfRule type="containsText" dxfId="53" priority="30" operator="containsText" text=" ">
      <formula>NOT(ISERROR(SEARCH(" ",A946)))</formula>
    </cfRule>
  </conditionalFormatting>
  <conditionalFormatting sqref="A952:A953">
    <cfRule type="containsText" dxfId="52" priority="27" operator="containsText" text=" ">
      <formula>NOT(ISERROR(SEARCH(" ",A952)))</formula>
    </cfRule>
  </conditionalFormatting>
  <conditionalFormatting sqref="A956:A971">
    <cfRule type="containsText" dxfId="51" priority="10" operator="containsText" text=" ">
      <formula>NOT(ISERROR(SEARCH(" ",A956)))</formula>
    </cfRule>
  </conditionalFormatting>
  <conditionalFormatting sqref="A974:A977">
    <cfRule type="containsText" dxfId="50" priority="6" operator="containsText" text=" ">
      <formula>NOT(ISERROR(SEARCH(" ",A974)))</formula>
    </cfRule>
  </conditionalFormatting>
  <conditionalFormatting sqref="A979:A982">
    <cfRule type="containsText" dxfId="49" priority="2" operator="containsText" text=" ">
      <formula>NOT(ISERROR(SEARCH(" ",A979)))</formula>
    </cfRule>
  </conditionalFormatting>
  <conditionalFormatting sqref="D1">
    <cfRule type="cellIs" dxfId="48" priority="29" operator="equal">
      <formula>FALSE</formula>
    </cfRule>
  </conditionalFormatting>
  <conditionalFormatting sqref="E1:F1 B2:F1059">
    <cfRule type="cellIs" dxfId="47" priority="85" operator="equal">
      <formula>FALSE</formula>
    </cfRule>
  </conditionalFormatting>
  <conditionalFormatting sqref="A985">
    <cfRule type="containsText" dxfId="13" priority="1" operator="containsText" text=" ">
      <formula>NOT(ISERROR(SEARCH(" ",A985)))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981" activePane="bottomRight" state="frozen"/>
      <selection activeCell="Q19" sqref="Q19"/>
      <selection pane="topRight" activeCell="Q19" sqref="Q19"/>
      <selection pane="bottomLeft" activeCell="Q19" sqref="Q19"/>
      <selection pane="bottomRight" activeCell="A985" sqref="A985"/>
    </sheetView>
  </sheetViews>
  <sheetFormatPr defaultRowHeight="14.6"/>
  <cols>
    <col min="1" max="1" width="50.69140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23046875" bestFit="1" customWidth="1"/>
    <col min="11" max="11" width="19.15234375" style="8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1" s="1" customFormat="1" ht="44.15" customHeight="1">
      <c r="A1" s="1" t="s">
        <v>0</v>
      </c>
      <c r="B1" s="1" t="s">
        <v>1687</v>
      </c>
      <c r="C1" s="1" t="s">
        <v>1659</v>
      </c>
      <c r="D1" s="1" t="s">
        <v>1669</v>
      </c>
    </row>
    <row r="2" spans="1:11">
      <c r="A2" t="s">
        <v>525</v>
      </c>
      <c r="B2" t="s">
        <v>1688</v>
      </c>
      <c r="C2" t="s">
        <v>1660</v>
      </c>
      <c r="D2" t="s">
        <v>1670</v>
      </c>
      <c r="K2"/>
    </row>
    <row r="3" spans="1:11">
      <c r="A3" t="s">
        <v>295</v>
      </c>
      <c r="B3" t="s">
        <v>1688</v>
      </c>
      <c r="C3" t="s">
        <v>1661</v>
      </c>
      <c r="D3" t="s">
        <v>1670</v>
      </c>
      <c r="K3"/>
    </row>
    <row r="4" spans="1:11">
      <c r="A4" t="s">
        <v>261</v>
      </c>
      <c r="B4" t="s">
        <v>1688</v>
      </c>
      <c r="C4" t="s">
        <v>1661</v>
      </c>
      <c r="D4" t="s">
        <v>1670</v>
      </c>
      <c r="K4"/>
    </row>
    <row r="5" spans="1:11">
      <c r="A5" t="s">
        <v>286</v>
      </c>
      <c r="B5" t="s">
        <v>1688</v>
      </c>
      <c r="C5" t="s">
        <v>1668</v>
      </c>
      <c r="D5" t="s">
        <v>1672</v>
      </c>
      <c r="K5"/>
    </row>
    <row r="6" spans="1:11">
      <c r="A6" t="s">
        <v>243</v>
      </c>
      <c r="B6" t="s">
        <v>1688</v>
      </c>
      <c r="C6" t="s">
        <v>1661</v>
      </c>
      <c r="D6" t="s">
        <v>1670</v>
      </c>
      <c r="K6"/>
    </row>
    <row r="7" spans="1:11">
      <c r="A7" t="s">
        <v>226</v>
      </c>
      <c r="B7" t="s">
        <v>1688</v>
      </c>
      <c r="C7" t="s">
        <v>1661</v>
      </c>
      <c r="D7" t="s">
        <v>1670</v>
      </c>
      <c r="K7"/>
    </row>
    <row r="8" spans="1:11">
      <c r="A8" t="s">
        <v>292</v>
      </c>
      <c r="B8" t="s">
        <v>1688</v>
      </c>
      <c r="C8" t="s">
        <v>1661</v>
      </c>
      <c r="D8" t="s">
        <v>1670</v>
      </c>
      <c r="K8"/>
    </row>
    <row r="9" spans="1:11">
      <c r="A9" t="s">
        <v>293</v>
      </c>
      <c r="B9" t="s">
        <v>1688</v>
      </c>
      <c r="C9" t="s">
        <v>1661</v>
      </c>
      <c r="D9" t="s">
        <v>1670</v>
      </c>
      <c r="K9"/>
    </row>
    <row r="10" spans="1:11">
      <c r="A10" t="s">
        <v>240</v>
      </c>
      <c r="B10" t="s">
        <v>1688</v>
      </c>
      <c r="C10" t="s">
        <v>1661</v>
      </c>
      <c r="D10" t="s">
        <v>1670</v>
      </c>
      <c r="K10"/>
    </row>
    <row r="11" spans="1:11">
      <c r="A11" t="s">
        <v>228</v>
      </c>
      <c r="B11" t="s">
        <v>1688</v>
      </c>
      <c r="C11" t="s">
        <v>1661</v>
      </c>
      <c r="D11" t="s">
        <v>1670</v>
      </c>
      <c r="K11"/>
    </row>
    <row r="12" spans="1:11">
      <c r="A12" t="s">
        <v>269</v>
      </c>
      <c r="B12" t="s">
        <v>1688</v>
      </c>
      <c r="C12" t="s">
        <v>1661</v>
      </c>
      <c r="D12" t="s">
        <v>1670</v>
      </c>
      <c r="K12"/>
    </row>
    <row r="13" spans="1:11">
      <c r="A13" t="s">
        <v>197</v>
      </c>
      <c r="B13" t="s">
        <v>1688</v>
      </c>
      <c r="C13" t="s">
        <v>1661</v>
      </c>
      <c r="D13" t="s">
        <v>1670</v>
      </c>
      <c r="K13"/>
    </row>
    <row r="14" spans="1:11">
      <c r="A14" t="s">
        <v>316</v>
      </c>
      <c r="B14" t="s">
        <v>1688</v>
      </c>
      <c r="C14" t="s">
        <v>1661</v>
      </c>
      <c r="D14" t="s">
        <v>1670</v>
      </c>
      <c r="K14"/>
    </row>
    <row r="15" spans="1:11">
      <c r="A15" t="s">
        <v>275</v>
      </c>
      <c r="B15" t="s">
        <v>1688</v>
      </c>
      <c r="C15" t="s">
        <v>1661</v>
      </c>
      <c r="D15" t="s">
        <v>1670</v>
      </c>
      <c r="K15"/>
    </row>
    <row r="16" spans="1:11">
      <c r="A16" t="s">
        <v>314</v>
      </c>
      <c r="B16" t="s">
        <v>1688</v>
      </c>
      <c r="C16" t="s">
        <v>1662</v>
      </c>
      <c r="D16" t="s">
        <v>1671</v>
      </c>
      <c r="K16"/>
    </row>
    <row r="17" spans="1:11">
      <c r="A17" t="s">
        <v>231</v>
      </c>
      <c r="B17" t="s">
        <v>1688</v>
      </c>
      <c r="C17" t="s">
        <v>1661</v>
      </c>
      <c r="D17" t="s">
        <v>1670</v>
      </c>
      <c r="K17"/>
    </row>
    <row r="18" spans="1:11">
      <c r="A18" t="s">
        <v>259</v>
      </c>
      <c r="B18" t="s">
        <v>1688</v>
      </c>
      <c r="C18" t="s">
        <v>1668</v>
      </c>
      <c r="D18" t="s">
        <v>1671</v>
      </c>
      <c r="K18"/>
    </row>
    <row r="19" spans="1:11">
      <c r="A19" t="s">
        <v>265</v>
      </c>
      <c r="B19" t="s">
        <v>1688</v>
      </c>
      <c r="C19" t="s">
        <v>1661</v>
      </c>
      <c r="D19" t="s">
        <v>1670</v>
      </c>
      <c r="K19"/>
    </row>
    <row r="20" spans="1:11">
      <c r="A20" t="s">
        <v>277</v>
      </c>
      <c r="B20" t="s">
        <v>1688</v>
      </c>
      <c r="C20" t="s">
        <v>1661</v>
      </c>
      <c r="D20" t="s">
        <v>1670</v>
      </c>
      <c r="K20"/>
    </row>
    <row r="21" spans="1:11">
      <c r="A21" t="s">
        <v>207</v>
      </c>
      <c r="B21" t="s">
        <v>1688</v>
      </c>
      <c r="C21" t="s">
        <v>1661</v>
      </c>
      <c r="D21" t="s">
        <v>1670</v>
      </c>
      <c r="K21"/>
    </row>
    <row r="22" spans="1:11">
      <c r="A22" t="s">
        <v>301</v>
      </c>
      <c r="B22" t="s">
        <v>1688</v>
      </c>
      <c r="C22" t="s">
        <v>1662</v>
      </c>
      <c r="D22" t="s">
        <v>1670</v>
      </c>
      <c r="K22"/>
    </row>
    <row r="23" spans="1:11">
      <c r="A23" t="s">
        <v>221</v>
      </c>
      <c r="B23" t="s">
        <v>1688</v>
      </c>
      <c r="C23" t="s">
        <v>1661</v>
      </c>
      <c r="D23" t="s">
        <v>1670</v>
      </c>
      <c r="K23"/>
    </row>
    <row r="24" spans="1:11">
      <c r="A24" t="s">
        <v>244</v>
      </c>
      <c r="B24" t="s">
        <v>1688</v>
      </c>
      <c r="C24" t="s">
        <v>1661</v>
      </c>
      <c r="D24" t="s">
        <v>1670</v>
      </c>
      <c r="K24"/>
    </row>
    <row r="25" spans="1:11">
      <c r="A25" t="s">
        <v>212</v>
      </c>
      <c r="B25" t="s">
        <v>1688</v>
      </c>
      <c r="C25" t="s">
        <v>1668</v>
      </c>
      <c r="D25" t="s">
        <v>1671</v>
      </c>
      <c r="K25"/>
    </row>
    <row r="26" spans="1:11">
      <c r="A26" t="s">
        <v>218</v>
      </c>
      <c r="B26" t="s">
        <v>1688</v>
      </c>
      <c r="C26" t="s">
        <v>1668</v>
      </c>
      <c r="D26" t="s">
        <v>1675</v>
      </c>
      <c r="K26"/>
    </row>
    <row r="27" spans="1:11">
      <c r="A27" t="s">
        <v>287</v>
      </c>
      <c r="B27" t="s">
        <v>1688</v>
      </c>
      <c r="C27" t="s">
        <v>1661</v>
      </c>
      <c r="D27" t="s">
        <v>1670</v>
      </c>
      <c r="K27"/>
    </row>
    <row r="28" spans="1:11">
      <c r="A28" t="s">
        <v>263</v>
      </c>
      <c r="B28" t="s">
        <v>1688</v>
      </c>
      <c r="C28" t="s">
        <v>1661</v>
      </c>
      <c r="D28" t="s">
        <v>1670</v>
      </c>
      <c r="K28"/>
    </row>
    <row r="29" spans="1:11">
      <c r="A29" t="s">
        <v>201</v>
      </c>
      <c r="B29" t="s">
        <v>1688</v>
      </c>
      <c r="C29" t="s">
        <v>1661</v>
      </c>
      <c r="D29" t="s">
        <v>1670</v>
      </c>
      <c r="K29"/>
    </row>
    <row r="30" spans="1:11">
      <c r="A30" t="s">
        <v>290</v>
      </c>
      <c r="B30" t="s">
        <v>1688</v>
      </c>
      <c r="C30" t="s">
        <v>1661</v>
      </c>
      <c r="D30" t="s">
        <v>1670</v>
      </c>
      <c r="K30"/>
    </row>
    <row r="31" spans="1:11">
      <c r="A31" t="s">
        <v>219</v>
      </c>
      <c r="B31" t="s">
        <v>1688</v>
      </c>
      <c r="C31" t="s">
        <v>1661</v>
      </c>
      <c r="D31" t="s">
        <v>1670</v>
      </c>
      <c r="K31"/>
    </row>
    <row r="32" spans="1:11">
      <c r="A32" t="s">
        <v>255</v>
      </c>
      <c r="B32" t="s">
        <v>1688</v>
      </c>
      <c r="C32" t="s">
        <v>1668</v>
      </c>
      <c r="D32" t="s">
        <v>1674</v>
      </c>
      <c r="K32"/>
    </row>
    <row r="33" spans="1:11">
      <c r="A33" t="s">
        <v>234</v>
      </c>
      <c r="B33" t="s">
        <v>1688</v>
      </c>
      <c r="C33" t="s">
        <v>1661</v>
      </c>
      <c r="D33" t="s">
        <v>1670</v>
      </c>
      <c r="K33"/>
    </row>
    <row r="34" spans="1:11">
      <c r="A34" t="s">
        <v>208</v>
      </c>
      <c r="B34" t="s">
        <v>1688</v>
      </c>
      <c r="C34" t="s">
        <v>1661</v>
      </c>
      <c r="D34" t="s">
        <v>1670</v>
      </c>
      <c r="K34"/>
    </row>
    <row r="35" spans="1:11">
      <c r="A35" t="s">
        <v>205</v>
      </c>
      <c r="B35" t="s">
        <v>1688</v>
      </c>
      <c r="C35" t="s">
        <v>1661</v>
      </c>
      <c r="D35" t="s">
        <v>1670</v>
      </c>
      <c r="K35"/>
    </row>
    <row r="36" spans="1:11">
      <c r="A36" t="s">
        <v>283</v>
      </c>
      <c r="B36" t="s">
        <v>1688</v>
      </c>
      <c r="C36" t="s">
        <v>1661</v>
      </c>
      <c r="D36" t="s">
        <v>1670</v>
      </c>
      <c r="K36"/>
    </row>
    <row r="37" spans="1:11">
      <c r="A37" t="s">
        <v>209</v>
      </c>
      <c r="B37" t="s">
        <v>1688</v>
      </c>
      <c r="C37" t="s">
        <v>1662</v>
      </c>
      <c r="D37" t="s">
        <v>1671</v>
      </c>
      <c r="K37"/>
    </row>
    <row r="38" spans="1:11">
      <c r="A38" t="s">
        <v>288</v>
      </c>
      <c r="B38" t="s">
        <v>1688</v>
      </c>
      <c r="C38" t="s">
        <v>1661</v>
      </c>
      <c r="D38" t="s">
        <v>1670</v>
      </c>
      <c r="K38"/>
    </row>
    <row r="39" spans="1:11">
      <c r="A39" t="s">
        <v>274</v>
      </c>
      <c r="B39" t="s">
        <v>1688</v>
      </c>
      <c r="C39" t="s">
        <v>1661</v>
      </c>
      <c r="D39" t="s">
        <v>1670</v>
      </c>
      <c r="K39"/>
    </row>
    <row r="40" spans="1:11">
      <c r="A40" t="s">
        <v>235</v>
      </c>
      <c r="B40" t="s">
        <v>1688</v>
      </c>
      <c r="C40" t="s">
        <v>1661</v>
      </c>
      <c r="D40" t="s">
        <v>1670</v>
      </c>
      <c r="K40"/>
    </row>
    <row r="41" spans="1:11">
      <c r="A41" t="s">
        <v>249</v>
      </c>
      <c r="B41" t="s">
        <v>1688</v>
      </c>
      <c r="C41" t="s">
        <v>1661</v>
      </c>
      <c r="D41" t="s">
        <v>1670</v>
      </c>
      <c r="K41"/>
    </row>
    <row r="42" spans="1:11">
      <c r="A42" t="s">
        <v>252</v>
      </c>
      <c r="B42" t="s">
        <v>1688</v>
      </c>
      <c r="C42" t="s">
        <v>1661</v>
      </c>
      <c r="D42" t="s">
        <v>1670</v>
      </c>
      <c r="K42"/>
    </row>
    <row r="43" spans="1:11">
      <c r="A43" t="s">
        <v>232</v>
      </c>
      <c r="B43" t="s">
        <v>1688</v>
      </c>
      <c r="C43" t="s">
        <v>1661</v>
      </c>
      <c r="D43" t="s">
        <v>1670</v>
      </c>
      <c r="K43"/>
    </row>
    <row r="44" spans="1:11">
      <c r="A44" t="s">
        <v>215</v>
      </c>
      <c r="B44" t="s">
        <v>1688</v>
      </c>
      <c r="C44" t="s">
        <v>1661</v>
      </c>
      <c r="D44" t="s">
        <v>1670</v>
      </c>
      <c r="K44"/>
    </row>
    <row r="45" spans="1:11">
      <c r="A45" t="s">
        <v>222</v>
      </c>
      <c r="B45" t="s">
        <v>1688</v>
      </c>
      <c r="C45" t="s">
        <v>1661</v>
      </c>
      <c r="D45" t="s">
        <v>1670</v>
      </c>
      <c r="K45"/>
    </row>
    <row r="46" spans="1:11">
      <c r="A46" t="s">
        <v>311</v>
      </c>
      <c r="B46" t="s">
        <v>1688</v>
      </c>
      <c r="C46" t="s">
        <v>1661</v>
      </c>
      <c r="D46" t="s">
        <v>1670</v>
      </c>
      <c r="K46"/>
    </row>
    <row r="47" spans="1:11">
      <c r="A47" t="s">
        <v>229</v>
      </c>
      <c r="B47" t="s">
        <v>1688</v>
      </c>
      <c r="C47" t="s">
        <v>1661</v>
      </c>
      <c r="D47" t="s">
        <v>1670</v>
      </c>
      <c r="K47"/>
    </row>
    <row r="48" spans="1:11">
      <c r="A48" t="s">
        <v>297</v>
      </c>
      <c r="B48" t="s">
        <v>1688</v>
      </c>
      <c r="C48" t="s">
        <v>1661</v>
      </c>
      <c r="D48" t="s">
        <v>1670</v>
      </c>
      <c r="K48"/>
    </row>
    <row r="49" spans="1:11">
      <c r="A49" t="s">
        <v>216</v>
      </c>
      <c r="B49" t="s">
        <v>1688</v>
      </c>
      <c r="C49" t="s">
        <v>1661</v>
      </c>
      <c r="D49" t="s">
        <v>1670</v>
      </c>
      <c r="K49"/>
    </row>
    <row r="50" spans="1:11">
      <c r="A50" t="s">
        <v>238</v>
      </c>
      <c r="B50" t="s">
        <v>1688</v>
      </c>
      <c r="C50" t="s">
        <v>1661</v>
      </c>
      <c r="D50" t="s">
        <v>1670</v>
      </c>
      <c r="K50"/>
    </row>
    <row r="51" spans="1:11">
      <c r="A51" t="s">
        <v>281</v>
      </c>
      <c r="B51" t="s">
        <v>1688</v>
      </c>
      <c r="C51" t="s">
        <v>1661</v>
      </c>
      <c r="D51" t="s">
        <v>1670</v>
      </c>
      <c r="K51"/>
    </row>
    <row r="52" spans="1:11">
      <c r="A52" t="s">
        <v>309</v>
      </c>
      <c r="B52" t="s">
        <v>1688</v>
      </c>
      <c r="C52" t="s">
        <v>1661</v>
      </c>
      <c r="D52" t="s">
        <v>1670</v>
      </c>
      <c r="K52"/>
    </row>
    <row r="53" spans="1:11">
      <c r="A53" t="s">
        <v>213</v>
      </c>
      <c r="B53" t="s">
        <v>1688</v>
      </c>
      <c r="C53" t="s">
        <v>1661</v>
      </c>
      <c r="D53" t="s">
        <v>1670</v>
      </c>
      <c r="K53"/>
    </row>
    <row r="54" spans="1:11">
      <c r="A54" t="s">
        <v>250</v>
      </c>
      <c r="B54" t="s">
        <v>1688</v>
      </c>
      <c r="C54" t="s">
        <v>1661</v>
      </c>
      <c r="D54" t="s">
        <v>1670</v>
      </c>
      <c r="K54"/>
    </row>
    <row r="55" spans="1:11">
      <c r="A55" t="s">
        <v>195</v>
      </c>
      <c r="B55" t="s">
        <v>1688</v>
      </c>
      <c r="C55" t="s">
        <v>1668</v>
      </c>
      <c r="D55" t="s">
        <v>1671</v>
      </c>
      <c r="K55"/>
    </row>
    <row r="56" spans="1:11">
      <c r="A56" t="s">
        <v>192</v>
      </c>
      <c r="B56" t="s">
        <v>1688</v>
      </c>
      <c r="C56" t="s">
        <v>1661</v>
      </c>
      <c r="D56" t="s">
        <v>1670</v>
      </c>
      <c r="K56"/>
    </row>
    <row r="57" spans="1:11">
      <c r="A57" t="s">
        <v>253</v>
      </c>
      <c r="B57" t="s">
        <v>1688</v>
      </c>
      <c r="C57" t="s">
        <v>1661</v>
      </c>
      <c r="D57" t="s">
        <v>1670</v>
      </c>
      <c r="K57"/>
    </row>
    <row r="58" spans="1:11">
      <c r="A58" t="s">
        <v>211</v>
      </c>
      <c r="B58" t="s">
        <v>1688</v>
      </c>
      <c r="C58" t="s">
        <v>1661</v>
      </c>
      <c r="D58" t="s">
        <v>1670</v>
      </c>
      <c r="K58"/>
    </row>
    <row r="59" spans="1:11">
      <c r="A59" t="s">
        <v>210</v>
      </c>
      <c r="B59" t="s">
        <v>1688</v>
      </c>
      <c r="C59" t="s">
        <v>1661</v>
      </c>
      <c r="D59" t="s">
        <v>1670</v>
      </c>
      <c r="K59"/>
    </row>
    <row r="60" spans="1:11">
      <c r="A60" t="s">
        <v>223</v>
      </c>
      <c r="B60" t="s">
        <v>1688</v>
      </c>
      <c r="C60" t="s">
        <v>1661</v>
      </c>
      <c r="D60" t="s">
        <v>1670</v>
      </c>
      <c r="K60"/>
    </row>
    <row r="61" spans="1:11">
      <c r="A61" t="s">
        <v>285</v>
      </c>
      <c r="B61" t="s">
        <v>1688</v>
      </c>
      <c r="C61" t="s">
        <v>1661</v>
      </c>
      <c r="D61" t="s">
        <v>1670</v>
      </c>
      <c r="K61"/>
    </row>
    <row r="62" spans="1:11">
      <c r="A62" t="s">
        <v>247</v>
      </c>
      <c r="B62" t="s">
        <v>1688</v>
      </c>
      <c r="C62" t="s">
        <v>1661</v>
      </c>
      <c r="D62" t="s">
        <v>1670</v>
      </c>
      <c r="K62"/>
    </row>
    <row r="63" spans="1:11">
      <c r="A63" t="s">
        <v>267</v>
      </c>
      <c r="B63" t="s">
        <v>1688</v>
      </c>
      <c r="C63" t="s">
        <v>1661</v>
      </c>
      <c r="D63" t="s">
        <v>1670</v>
      </c>
      <c r="K63"/>
    </row>
    <row r="64" spans="1:11">
      <c r="A64" t="s">
        <v>262</v>
      </c>
      <c r="B64" t="s">
        <v>1688</v>
      </c>
      <c r="C64" t="s">
        <v>1661</v>
      </c>
      <c r="D64" t="s">
        <v>1670</v>
      </c>
      <c r="K64"/>
    </row>
    <row r="65" spans="1:11">
      <c r="A65" t="s">
        <v>279</v>
      </c>
      <c r="B65" t="s">
        <v>1688</v>
      </c>
      <c r="C65" t="s">
        <v>1661</v>
      </c>
      <c r="D65" t="s">
        <v>1670</v>
      </c>
      <c r="K65"/>
    </row>
    <row r="66" spans="1:11">
      <c r="A66" t="s">
        <v>282</v>
      </c>
      <c r="B66" t="s">
        <v>1688</v>
      </c>
      <c r="C66" t="s">
        <v>1661</v>
      </c>
      <c r="D66" t="s">
        <v>1670</v>
      </c>
      <c r="K66"/>
    </row>
    <row r="67" spans="1:11">
      <c r="A67" t="s">
        <v>306</v>
      </c>
      <c r="B67" t="s">
        <v>1688</v>
      </c>
      <c r="C67" t="s">
        <v>1661</v>
      </c>
      <c r="D67" t="s">
        <v>1670</v>
      </c>
      <c r="K67"/>
    </row>
    <row r="68" spans="1:11">
      <c r="A68" t="s">
        <v>268</v>
      </c>
      <c r="B68" t="s">
        <v>1688</v>
      </c>
      <c r="C68" t="s">
        <v>1661</v>
      </c>
      <c r="D68" t="s">
        <v>1670</v>
      </c>
      <c r="K68"/>
    </row>
    <row r="69" spans="1:11">
      <c r="A69" t="s">
        <v>272</v>
      </c>
      <c r="B69" t="s">
        <v>1688</v>
      </c>
      <c r="C69" t="s">
        <v>1661</v>
      </c>
      <c r="D69" t="s">
        <v>1670</v>
      </c>
      <c r="K69"/>
    </row>
    <row r="70" spans="1:11">
      <c r="A70" t="s">
        <v>618</v>
      </c>
      <c r="B70" t="s">
        <v>1688</v>
      </c>
      <c r="C70" t="s">
        <v>1661</v>
      </c>
      <c r="D70" t="s">
        <v>1670</v>
      </c>
      <c r="K70"/>
    </row>
    <row r="71" spans="1:11">
      <c r="A71" t="s">
        <v>206</v>
      </c>
      <c r="B71" t="s">
        <v>1688</v>
      </c>
      <c r="C71" t="s">
        <v>1668</v>
      </c>
      <c r="D71" t="s">
        <v>1671</v>
      </c>
      <c r="K71"/>
    </row>
    <row r="72" spans="1:11">
      <c r="A72" t="s">
        <v>264</v>
      </c>
      <c r="B72" t="s">
        <v>1688</v>
      </c>
      <c r="C72" t="s">
        <v>1661</v>
      </c>
      <c r="D72" t="s">
        <v>1670</v>
      </c>
      <c r="K72"/>
    </row>
    <row r="73" spans="1:11">
      <c r="A73" t="s">
        <v>299</v>
      </c>
      <c r="B73" t="s">
        <v>1688</v>
      </c>
      <c r="C73" t="s">
        <v>1661</v>
      </c>
      <c r="D73" t="s">
        <v>1670</v>
      </c>
      <c r="K73"/>
    </row>
    <row r="74" spans="1:11">
      <c r="A74" t="s">
        <v>194</v>
      </c>
      <c r="B74" t="s">
        <v>1688</v>
      </c>
      <c r="C74" t="s">
        <v>1661</v>
      </c>
      <c r="D74" t="s">
        <v>1670</v>
      </c>
      <c r="K74"/>
    </row>
    <row r="75" spans="1:11">
      <c r="A75" t="s">
        <v>202</v>
      </c>
      <c r="B75" t="s">
        <v>1688</v>
      </c>
      <c r="C75" t="s">
        <v>1668</v>
      </c>
      <c r="D75" t="s">
        <v>1671</v>
      </c>
      <c r="K75"/>
    </row>
    <row r="76" spans="1:11">
      <c r="A76" t="s">
        <v>310</v>
      </c>
      <c r="B76" t="s">
        <v>1688</v>
      </c>
      <c r="C76" t="s">
        <v>1661</v>
      </c>
      <c r="D76" t="s">
        <v>1670</v>
      </c>
      <c r="K76"/>
    </row>
    <row r="77" spans="1:11">
      <c r="A77" t="s">
        <v>315</v>
      </c>
      <c r="B77" t="s">
        <v>1688</v>
      </c>
      <c r="C77" t="s">
        <v>1661</v>
      </c>
      <c r="D77" t="s">
        <v>1670</v>
      </c>
      <c r="K77"/>
    </row>
    <row r="78" spans="1:11">
      <c r="A78" t="s">
        <v>273</v>
      </c>
      <c r="B78" t="s">
        <v>1688</v>
      </c>
      <c r="C78" t="s">
        <v>1661</v>
      </c>
      <c r="D78" t="s">
        <v>1670</v>
      </c>
      <c r="K78"/>
    </row>
    <row r="79" spans="1:11">
      <c r="A79" t="s">
        <v>236</v>
      </c>
      <c r="B79" t="s">
        <v>1688</v>
      </c>
      <c r="C79" t="s">
        <v>1662</v>
      </c>
      <c r="D79" t="s">
        <v>1670</v>
      </c>
      <c r="K79"/>
    </row>
    <row r="80" spans="1:11">
      <c r="A80" t="s">
        <v>289</v>
      </c>
      <c r="B80" t="s">
        <v>1688</v>
      </c>
      <c r="C80" t="s">
        <v>1661</v>
      </c>
      <c r="D80" t="s">
        <v>1670</v>
      </c>
      <c r="K80"/>
    </row>
    <row r="81" spans="1:11">
      <c r="A81" t="s">
        <v>291</v>
      </c>
      <c r="B81" t="s">
        <v>1688</v>
      </c>
      <c r="C81" t="s">
        <v>1661</v>
      </c>
      <c r="D81" t="s">
        <v>1670</v>
      </c>
      <c r="K81"/>
    </row>
    <row r="82" spans="1:11">
      <c r="A82" t="s">
        <v>302</v>
      </c>
      <c r="B82" t="s">
        <v>1688</v>
      </c>
      <c r="C82" t="s">
        <v>1661</v>
      </c>
      <c r="D82" t="s">
        <v>1670</v>
      </c>
      <c r="K82"/>
    </row>
    <row r="83" spans="1:11">
      <c r="A83" t="s">
        <v>308</v>
      </c>
      <c r="B83" t="s">
        <v>1688</v>
      </c>
      <c r="C83" t="s">
        <v>1661</v>
      </c>
      <c r="D83" t="s">
        <v>1670</v>
      </c>
      <c r="K83"/>
    </row>
    <row r="84" spans="1:11">
      <c r="A84" t="s">
        <v>237</v>
      </c>
      <c r="B84" t="s">
        <v>1688</v>
      </c>
      <c r="C84" t="s">
        <v>1661</v>
      </c>
      <c r="D84" t="s">
        <v>1670</v>
      </c>
      <c r="K84"/>
    </row>
    <row r="85" spans="1:11">
      <c r="A85" t="s">
        <v>217</v>
      </c>
      <c r="B85" t="s">
        <v>1688</v>
      </c>
      <c r="C85" t="s">
        <v>1661</v>
      </c>
      <c r="D85" t="s">
        <v>1670</v>
      </c>
      <c r="K85"/>
    </row>
    <row r="86" spans="1:11">
      <c r="A86" t="s">
        <v>225</v>
      </c>
      <c r="B86" t="s">
        <v>1688</v>
      </c>
      <c r="C86" t="s">
        <v>1661</v>
      </c>
      <c r="D86" t="s">
        <v>1670</v>
      </c>
      <c r="K86"/>
    </row>
    <row r="87" spans="1:11">
      <c r="A87" t="s">
        <v>307</v>
      </c>
      <c r="B87" t="s">
        <v>1688</v>
      </c>
      <c r="C87" t="s">
        <v>1661</v>
      </c>
      <c r="D87" t="s">
        <v>1670</v>
      </c>
      <c r="K87"/>
    </row>
    <row r="88" spans="1:11">
      <c r="A88" t="s">
        <v>254</v>
      </c>
      <c r="B88" t="s">
        <v>1688</v>
      </c>
      <c r="C88" t="s">
        <v>1668</v>
      </c>
      <c r="D88" t="s">
        <v>1671</v>
      </c>
      <c r="K88"/>
    </row>
    <row r="89" spans="1:11">
      <c r="A89" t="s">
        <v>251</v>
      </c>
      <c r="B89" t="s">
        <v>1688</v>
      </c>
      <c r="C89" t="s">
        <v>1668</v>
      </c>
      <c r="D89" t="s">
        <v>1674</v>
      </c>
      <c r="K89"/>
    </row>
    <row r="90" spans="1:11">
      <c r="A90" t="s">
        <v>227</v>
      </c>
      <c r="B90" t="s">
        <v>1688</v>
      </c>
      <c r="C90" t="s">
        <v>1661</v>
      </c>
      <c r="D90" t="s">
        <v>1670</v>
      </c>
      <c r="K90"/>
    </row>
    <row r="91" spans="1:11">
      <c r="A91" t="s">
        <v>220</v>
      </c>
      <c r="B91" t="s">
        <v>1688</v>
      </c>
      <c r="C91" t="s">
        <v>1661</v>
      </c>
      <c r="D91" t="s">
        <v>1670</v>
      </c>
      <c r="K91"/>
    </row>
    <row r="92" spans="1:11">
      <c r="A92" t="s">
        <v>239</v>
      </c>
      <c r="B92" t="s">
        <v>1688</v>
      </c>
      <c r="C92" t="s">
        <v>1661</v>
      </c>
      <c r="D92" t="s">
        <v>1670</v>
      </c>
      <c r="K92"/>
    </row>
    <row r="93" spans="1:11">
      <c r="A93" t="s">
        <v>278</v>
      </c>
      <c r="B93" t="s">
        <v>1688</v>
      </c>
      <c r="C93" t="s">
        <v>1661</v>
      </c>
      <c r="D93" t="s">
        <v>1670</v>
      </c>
      <c r="K93"/>
    </row>
    <row r="94" spans="1:11">
      <c r="A94" t="s">
        <v>305</v>
      </c>
      <c r="B94" t="s">
        <v>1688</v>
      </c>
      <c r="C94" t="s">
        <v>1661</v>
      </c>
      <c r="D94" t="s">
        <v>1670</v>
      </c>
      <c r="K94"/>
    </row>
    <row r="95" spans="1:11">
      <c r="A95" t="s">
        <v>312</v>
      </c>
      <c r="B95" t="s">
        <v>1688</v>
      </c>
      <c r="C95" t="s">
        <v>1661</v>
      </c>
      <c r="D95" t="s">
        <v>1670</v>
      </c>
      <c r="K95"/>
    </row>
    <row r="96" spans="1:11">
      <c r="A96" t="s">
        <v>294</v>
      </c>
      <c r="B96" t="s">
        <v>1688</v>
      </c>
      <c r="C96" t="s">
        <v>1661</v>
      </c>
      <c r="D96" t="s">
        <v>1670</v>
      </c>
      <c r="K96"/>
    </row>
    <row r="97" spans="1:11">
      <c r="A97" t="s">
        <v>271</v>
      </c>
      <c r="B97" t="s">
        <v>1688</v>
      </c>
      <c r="C97" t="s">
        <v>1661</v>
      </c>
      <c r="D97" t="s">
        <v>1670</v>
      </c>
      <c r="K97"/>
    </row>
    <row r="98" spans="1:11">
      <c r="A98" t="s">
        <v>313</v>
      </c>
      <c r="B98" t="s">
        <v>1688</v>
      </c>
      <c r="C98" t="s">
        <v>1661</v>
      </c>
      <c r="D98" t="s">
        <v>1670</v>
      </c>
      <c r="K98"/>
    </row>
    <row r="99" spans="1:11">
      <c r="A99" t="s">
        <v>284</v>
      </c>
      <c r="B99" t="s">
        <v>1688</v>
      </c>
      <c r="C99" t="s">
        <v>1661</v>
      </c>
      <c r="D99" t="s">
        <v>1670</v>
      </c>
      <c r="K99"/>
    </row>
    <row r="100" spans="1:11">
      <c r="A100" t="s">
        <v>266</v>
      </c>
      <c r="B100" t="s">
        <v>1688</v>
      </c>
      <c r="C100" t="s">
        <v>1661</v>
      </c>
      <c r="D100" t="s">
        <v>1670</v>
      </c>
      <c r="K100"/>
    </row>
    <row r="101" spans="1:11">
      <c r="A101" t="s">
        <v>233</v>
      </c>
      <c r="B101" t="s">
        <v>1688</v>
      </c>
      <c r="C101" t="s">
        <v>1661</v>
      </c>
      <c r="D101" t="s">
        <v>1670</v>
      </c>
      <c r="K101"/>
    </row>
    <row r="102" spans="1:11">
      <c r="A102" t="s">
        <v>196</v>
      </c>
      <c r="B102" t="s">
        <v>1688</v>
      </c>
      <c r="C102" t="s">
        <v>1661</v>
      </c>
      <c r="D102" t="s">
        <v>1670</v>
      </c>
      <c r="K102"/>
    </row>
    <row r="103" spans="1:11">
      <c r="A103" t="s">
        <v>296</v>
      </c>
      <c r="B103" t="s">
        <v>1688</v>
      </c>
      <c r="C103" t="s">
        <v>1661</v>
      </c>
      <c r="D103" t="s">
        <v>1670</v>
      </c>
      <c r="K103"/>
    </row>
    <row r="104" spans="1:11">
      <c r="A104" t="s">
        <v>298</v>
      </c>
      <c r="B104" t="s">
        <v>1688</v>
      </c>
      <c r="C104" t="s">
        <v>1661</v>
      </c>
      <c r="D104" t="s">
        <v>1670</v>
      </c>
      <c r="K104"/>
    </row>
    <row r="105" spans="1:11">
      <c r="A105" t="s">
        <v>242</v>
      </c>
      <c r="B105" t="s">
        <v>1688</v>
      </c>
      <c r="C105" t="s">
        <v>1661</v>
      </c>
      <c r="D105" t="s">
        <v>1670</v>
      </c>
      <c r="K105"/>
    </row>
    <row r="106" spans="1:11">
      <c r="A106" t="s">
        <v>224</v>
      </c>
      <c r="B106" t="s">
        <v>1688</v>
      </c>
      <c r="C106" t="s">
        <v>1668</v>
      </c>
      <c r="D106" t="s">
        <v>1671</v>
      </c>
      <c r="K106"/>
    </row>
    <row r="107" spans="1:11">
      <c r="A107" t="s">
        <v>276</v>
      </c>
      <c r="B107" t="s">
        <v>1688</v>
      </c>
      <c r="C107" t="s">
        <v>1661</v>
      </c>
      <c r="D107" t="s">
        <v>1670</v>
      </c>
      <c r="K107"/>
    </row>
    <row r="108" spans="1:11">
      <c r="A108" t="s">
        <v>245</v>
      </c>
      <c r="B108" t="s">
        <v>1688</v>
      </c>
      <c r="C108" t="s">
        <v>1661</v>
      </c>
      <c r="D108" t="s">
        <v>1670</v>
      </c>
      <c r="K108"/>
    </row>
    <row r="109" spans="1:11">
      <c r="A109" t="s">
        <v>246</v>
      </c>
      <c r="B109" t="s">
        <v>1688</v>
      </c>
      <c r="C109" t="s">
        <v>1661</v>
      </c>
      <c r="D109" t="s">
        <v>1670</v>
      </c>
      <c r="K109"/>
    </row>
    <row r="110" spans="1:11">
      <c r="A110" t="s">
        <v>317</v>
      </c>
      <c r="B110" t="s">
        <v>1688</v>
      </c>
      <c r="C110" t="s">
        <v>1661</v>
      </c>
      <c r="D110" t="s">
        <v>1670</v>
      </c>
      <c r="K110"/>
    </row>
    <row r="111" spans="1:11">
      <c r="A111" t="s">
        <v>258</v>
      </c>
      <c r="B111" t="s">
        <v>1688</v>
      </c>
      <c r="C111" t="s">
        <v>1668</v>
      </c>
      <c r="D111" t="s">
        <v>1671</v>
      </c>
      <c r="K111"/>
    </row>
    <row r="112" spans="1:11">
      <c r="A112" t="s">
        <v>3045</v>
      </c>
      <c r="B112" t="s">
        <v>1688</v>
      </c>
      <c r="C112" t="s">
        <v>1668</v>
      </c>
      <c r="D112" t="s">
        <v>1671</v>
      </c>
      <c r="K112"/>
    </row>
    <row r="113" spans="1:11">
      <c r="A113" t="s">
        <v>304</v>
      </c>
      <c r="B113" t="s">
        <v>1688</v>
      </c>
      <c r="C113" t="s">
        <v>1662</v>
      </c>
      <c r="D113" t="s">
        <v>1670</v>
      </c>
      <c r="K113"/>
    </row>
    <row r="114" spans="1:11">
      <c r="A114" t="s">
        <v>303</v>
      </c>
      <c r="B114" t="s">
        <v>1688</v>
      </c>
      <c r="C114" t="s">
        <v>1663</v>
      </c>
      <c r="D114" t="s">
        <v>1670</v>
      </c>
      <c r="K114"/>
    </row>
    <row r="115" spans="1:11">
      <c r="A115" t="s">
        <v>300</v>
      </c>
      <c r="B115" t="s">
        <v>1688</v>
      </c>
      <c r="C115" t="s">
        <v>1661</v>
      </c>
      <c r="D115" t="s">
        <v>1670</v>
      </c>
      <c r="K115"/>
    </row>
    <row r="116" spans="1:11">
      <c r="A116" t="s">
        <v>248</v>
      </c>
      <c r="B116" t="s">
        <v>1688</v>
      </c>
      <c r="C116" t="s">
        <v>1661</v>
      </c>
      <c r="D116" t="s">
        <v>1670</v>
      </c>
      <c r="K116"/>
    </row>
    <row r="117" spans="1:11">
      <c r="A117" t="s">
        <v>204</v>
      </c>
      <c r="B117" t="s">
        <v>1688</v>
      </c>
      <c r="C117" t="s">
        <v>1661</v>
      </c>
      <c r="D117" t="s">
        <v>1670</v>
      </c>
      <c r="K117"/>
    </row>
    <row r="118" spans="1:11">
      <c r="A118" t="s">
        <v>318</v>
      </c>
      <c r="B118" t="s">
        <v>1688</v>
      </c>
      <c r="C118" t="s">
        <v>1661</v>
      </c>
      <c r="D118" t="s">
        <v>1670</v>
      </c>
      <c r="K118"/>
    </row>
    <row r="119" spans="1:11">
      <c r="A119" t="s">
        <v>214</v>
      </c>
      <c r="B119" t="s">
        <v>1688</v>
      </c>
      <c r="C119" t="s">
        <v>1661</v>
      </c>
      <c r="D119" t="s">
        <v>1670</v>
      </c>
      <c r="K119"/>
    </row>
    <row r="120" spans="1:11">
      <c r="A120" t="s">
        <v>241</v>
      </c>
      <c r="B120" t="s">
        <v>1688</v>
      </c>
      <c r="C120" t="s">
        <v>1668</v>
      </c>
      <c r="D120" t="s">
        <v>1675</v>
      </c>
      <c r="K120"/>
    </row>
    <row r="121" spans="1:11">
      <c r="A121" t="s">
        <v>892</v>
      </c>
      <c r="B121" t="s">
        <v>1688</v>
      </c>
      <c r="C121" t="s">
        <v>1668</v>
      </c>
      <c r="D121" t="s">
        <v>1675</v>
      </c>
      <c r="K121"/>
    </row>
    <row r="122" spans="1:11">
      <c r="A122" t="s">
        <v>199</v>
      </c>
      <c r="B122" t="s">
        <v>1688</v>
      </c>
      <c r="C122" t="s">
        <v>1662</v>
      </c>
      <c r="D122" t="s">
        <v>1671</v>
      </c>
      <c r="K122"/>
    </row>
    <row r="123" spans="1:11">
      <c r="A123" t="s">
        <v>193</v>
      </c>
      <c r="B123" t="s">
        <v>1688</v>
      </c>
      <c r="C123" t="s">
        <v>1661</v>
      </c>
      <c r="D123" t="s">
        <v>1670</v>
      </c>
      <c r="K123"/>
    </row>
    <row r="124" spans="1:11">
      <c r="A124" t="s">
        <v>280</v>
      </c>
      <c r="B124" t="s">
        <v>1688</v>
      </c>
      <c r="C124" t="s">
        <v>1661</v>
      </c>
      <c r="D124" t="s">
        <v>1670</v>
      </c>
      <c r="K124"/>
    </row>
    <row r="125" spans="1:11">
      <c r="A125" t="s">
        <v>257</v>
      </c>
      <c r="B125" t="s">
        <v>1688</v>
      </c>
      <c r="C125" t="s">
        <v>1661</v>
      </c>
      <c r="D125" t="s">
        <v>1670</v>
      </c>
      <c r="K125"/>
    </row>
    <row r="126" spans="1:11">
      <c r="A126" t="s">
        <v>203</v>
      </c>
      <c r="B126" t="s">
        <v>1688</v>
      </c>
      <c r="C126" t="s">
        <v>1662</v>
      </c>
      <c r="D126" t="s">
        <v>1671</v>
      </c>
      <c r="K126"/>
    </row>
    <row r="127" spans="1:11">
      <c r="A127" t="s">
        <v>260</v>
      </c>
      <c r="B127" t="s">
        <v>1688</v>
      </c>
      <c r="C127" t="s">
        <v>1661</v>
      </c>
      <c r="D127" t="s">
        <v>1670</v>
      </c>
      <c r="K127"/>
    </row>
    <row r="128" spans="1:11">
      <c r="A128" t="s">
        <v>256</v>
      </c>
      <c r="B128" t="s">
        <v>1688</v>
      </c>
      <c r="C128" t="s">
        <v>1661</v>
      </c>
      <c r="D128" t="s">
        <v>1670</v>
      </c>
      <c r="K128"/>
    </row>
    <row r="129" spans="1:11">
      <c r="A129" t="s">
        <v>230</v>
      </c>
      <c r="B129" t="s">
        <v>1688</v>
      </c>
      <c r="C129" t="s">
        <v>1664</v>
      </c>
      <c r="D129" t="s">
        <v>1670</v>
      </c>
      <c r="K129"/>
    </row>
    <row r="130" spans="1:11">
      <c r="A130" t="s">
        <v>200</v>
      </c>
      <c r="B130" t="s">
        <v>1688</v>
      </c>
      <c r="C130" t="s">
        <v>1662</v>
      </c>
      <c r="D130" t="s">
        <v>1671</v>
      </c>
      <c r="K130"/>
    </row>
    <row r="131" spans="1:11">
      <c r="A131" t="s">
        <v>198</v>
      </c>
      <c r="B131" t="s">
        <v>1688</v>
      </c>
      <c r="C131" t="s">
        <v>1661</v>
      </c>
      <c r="D131" t="s">
        <v>1670</v>
      </c>
      <c r="K131"/>
    </row>
    <row r="132" spans="1:11">
      <c r="A132" t="s">
        <v>270</v>
      </c>
      <c r="B132" t="s">
        <v>1688</v>
      </c>
      <c r="C132" t="s">
        <v>1661</v>
      </c>
      <c r="D132" t="s">
        <v>1670</v>
      </c>
      <c r="K132"/>
    </row>
    <row r="133" spans="1:11">
      <c r="A133" t="s">
        <v>515</v>
      </c>
      <c r="B133" t="s">
        <v>1688</v>
      </c>
      <c r="C133" t="s">
        <v>1665</v>
      </c>
      <c r="D133" t="s">
        <v>1670</v>
      </c>
      <c r="K133"/>
    </row>
    <row r="134" spans="1:11">
      <c r="A134" t="s">
        <v>520</v>
      </c>
      <c r="B134" t="s">
        <v>1688</v>
      </c>
      <c r="C134" t="s">
        <v>1665</v>
      </c>
      <c r="D134" t="s">
        <v>1670</v>
      </c>
      <c r="K134"/>
    </row>
    <row r="135" spans="1:11">
      <c r="A135" t="s">
        <v>492</v>
      </c>
      <c r="B135" t="s">
        <v>1688</v>
      </c>
      <c r="C135" t="s">
        <v>1665</v>
      </c>
      <c r="D135" t="s">
        <v>1670</v>
      </c>
      <c r="K135"/>
    </row>
    <row r="136" spans="1:11">
      <c r="A136" t="s">
        <v>474</v>
      </c>
      <c r="B136" t="s">
        <v>1688</v>
      </c>
      <c r="C136" t="s">
        <v>1665</v>
      </c>
      <c r="D136" t="s">
        <v>1670</v>
      </c>
      <c r="K136"/>
    </row>
    <row r="137" spans="1:11">
      <c r="A137" t="s">
        <v>503</v>
      </c>
      <c r="B137" t="s">
        <v>1688</v>
      </c>
      <c r="C137" t="s">
        <v>1665</v>
      </c>
      <c r="D137" t="s">
        <v>1670</v>
      </c>
      <c r="K137"/>
    </row>
    <row r="138" spans="1:11">
      <c r="A138" t="s">
        <v>477</v>
      </c>
      <c r="B138" t="s">
        <v>1688</v>
      </c>
      <c r="C138" t="s">
        <v>1665</v>
      </c>
      <c r="D138" t="s">
        <v>1670</v>
      </c>
      <c r="K138"/>
    </row>
    <row r="139" spans="1:11">
      <c r="A139" t="s">
        <v>518</v>
      </c>
      <c r="B139" t="s">
        <v>1688</v>
      </c>
      <c r="C139" t="s">
        <v>1665</v>
      </c>
      <c r="D139" t="s">
        <v>1670</v>
      </c>
      <c r="K139"/>
    </row>
    <row r="140" spans="1:11">
      <c r="A140" t="s">
        <v>502</v>
      </c>
      <c r="B140" t="s">
        <v>1688</v>
      </c>
      <c r="C140" t="s">
        <v>1665</v>
      </c>
      <c r="D140" t="s">
        <v>1670</v>
      </c>
      <c r="K140"/>
    </row>
    <row r="141" spans="1:11">
      <c r="A141" t="s">
        <v>491</v>
      </c>
      <c r="B141" t="s">
        <v>1688</v>
      </c>
      <c r="C141" t="s">
        <v>1665</v>
      </c>
      <c r="D141" t="s">
        <v>1670</v>
      </c>
      <c r="K141"/>
    </row>
    <row r="142" spans="1:11">
      <c r="A142" t="s">
        <v>510</v>
      </c>
      <c r="B142" t="s">
        <v>1688</v>
      </c>
      <c r="C142" t="s">
        <v>1665</v>
      </c>
      <c r="D142" t="s">
        <v>1670</v>
      </c>
      <c r="K142"/>
    </row>
    <row r="143" spans="1:11">
      <c r="A143" t="s">
        <v>508</v>
      </c>
      <c r="B143" t="s">
        <v>1688</v>
      </c>
      <c r="C143" t="s">
        <v>1665</v>
      </c>
      <c r="D143" t="s">
        <v>1670</v>
      </c>
      <c r="K143"/>
    </row>
    <row r="144" spans="1:11">
      <c r="A144" t="s">
        <v>480</v>
      </c>
      <c r="B144" t="s">
        <v>1688</v>
      </c>
      <c r="C144" t="s">
        <v>1665</v>
      </c>
      <c r="D144" t="s">
        <v>1670</v>
      </c>
      <c r="K144"/>
    </row>
    <row r="145" spans="1:11">
      <c r="A145" t="s">
        <v>519</v>
      </c>
      <c r="B145" t="s">
        <v>1688</v>
      </c>
      <c r="C145" t="s">
        <v>1665</v>
      </c>
      <c r="D145" t="s">
        <v>1670</v>
      </c>
      <c r="K145"/>
    </row>
    <row r="146" spans="1:11">
      <c r="A146" t="s">
        <v>483</v>
      </c>
      <c r="B146" t="s">
        <v>1688</v>
      </c>
      <c r="C146" t="s">
        <v>1665</v>
      </c>
      <c r="D146" t="s">
        <v>1670</v>
      </c>
      <c r="K146"/>
    </row>
    <row r="147" spans="1:11">
      <c r="A147" t="s">
        <v>507</v>
      </c>
      <c r="B147" t="s">
        <v>1688</v>
      </c>
      <c r="C147" t="s">
        <v>1665</v>
      </c>
      <c r="D147" t="s">
        <v>1670</v>
      </c>
      <c r="K147"/>
    </row>
    <row r="148" spans="1:11">
      <c r="A148" t="s">
        <v>495</v>
      </c>
      <c r="B148" t="s">
        <v>1688</v>
      </c>
      <c r="C148" t="s">
        <v>1665</v>
      </c>
      <c r="D148" t="s">
        <v>1670</v>
      </c>
      <c r="K148"/>
    </row>
    <row r="149" spans="1:11">
      <c r="A149" t="s">
        <v>498</v>
      </c>
      <c r="B149" t="s">
        <v>1688</v>
      </c>
      <c r="C149" t="s">
        <v>1665</v>
      </c>
      <c r="D149" t="s">
        <v>1670</v>
      </c>
      <c r="K149"/>
    </row>
    <row r="150" spans="1:11">
      <c r="A150" t="s">
        <v>475</v>
      </c>
      <c r="B150" t="s">
        <v>1688</v>
      </c>
      <c r="C150" t="s">
        <v>1665</v>
      </c>
      <c r="D150" t="s">
        <v>1670</v>
      </c>
      <c r="K150"/>
    </row>
    <row r="151" spans="1:11">
      <c r="A151" t="s">
        <v>489</v>
      </c>
      <c r="B151" t="s">
        <v>1688</v>
      </c>
      <c r="C151" t="s">
        <v>1665</v>
      </c>
      <c r="D151" t="s">
        <v>1670</v>
      </c>
      <c r="K151"/>
    </row>
    <row r="152" spans="1:11">
      <c r="A152" t="s">
        <v>494</v>
      </c>
      <c r="B152" t="s">
        <v>1688</v>
      </c>
      <c r="C152" t="s">
        <v>1665</v>
      </c>
      <c r="D152" t="s">
        <v>1670</v>
      </c>
      <c r="K152"/>
    </row>
    <row r="153" spans="1:11">
      <c r="A153" t="s">
        <v>512</v>
      </c>
      <c r="B153" t="s">
        <v>1688</v>
      </c>
      <c r="C153" t="s">
        <v>1665</v>
      </c>
      <c r="D153" t="s">
        <v>1670</v>
      </c>
      <c r="K153"/>
    </row>
    <row r="154" spans="1:11">
      <c r="A154" t="s">
        <v>511</v>
      </c>
      <c r="B154" t="s">
        <v>1688</v>
      </c>
      <c r="C154" t="s">
        <v>1665</v>
      </c>
      <c r="D154" t="s">
        <v>1670</v>
      </c>
      <c r="K154"/>
    </row>
    <row r="155" spans="1:11">
      <c r="A155" t="s">
        <v>487</v>
      </c>
      <c r="B155" t="s">
        <v>1688</v>
      </c>
      <c r="C155" t="s">
        <v>1665</v>
      </c>
      <c r="D155" t="s">
        <v>1670</v>
      </c>
      <c r="K155"/>
    </row>
    <row r="156" spans="1:11">
      <c r="A156" t="s">
        <v>514</v>
      </c>
      <c r="B156" t="s">
        <v>1688</v>
      </c>
      <c r="C156" t="s">
        <v>1665</v>
      </c>
      <c r="D156" t="s">
        <v>1670</v>
      </c>
      <c r="K156"/>
    </row>
    <row r="157" spans="1:11">
      <c r="A157" t="s">
        <v>488</v>
      </c>
      <c r="B157" t="s">
        <v>1688</v>
      </c>
      <c r="C157" t="s">
        <v>1665</v>
      </c>
      <c r="D157" t="s">
        <v>1670</v>
      </c>
      <c r="K157"/>
    </row>
    <row r="158" spans="1:11">
      <c r="A158" t="s">
        <v>473</v>
      </c>
      <c r="B158" t="s">
        <v>1688</v>
      </c>
      <c r="C158" t="s">
        <v>1665</v>
      </c>
      <c r="D158" t="s">
        <v>1670</v>
      </c>
      <c r="K158"/>
    </row>
    <row r="159" spans="1:11">
      <c r="A159" t="s">
        <v>476</v>
      </c>
      <c r="B159" t="s">
        <v>1688</v>
      </c>
      <c r="C159" t="s">
        <v>1665</v>
      </c>
      <c r="D159" t="s">
        <v>1670</v>
      </c>
      <c r="K159"/>
    </row>
    <row r="160" spans="1:11">
      <c r="A160" t="s">
        <v>478</v>
      </c>
      <c r="B160" t="s">
        <v>1688</v>
      </c>
      <c r="C160" t="s">
        <v>1665</v>
      </c>
      <c r="D160" t="s">
        <v>1670</v>
      </c>
      <c r="K160"/>
    </row>
    <row r="161" spans="1:11">
      <c r="A161" t="s">
        <v>517</v>
      </c>
      <c r="B161" t="s">
        <v>1688</v>
      </c>
      <c r="C161" t="s">
        <v>1665</v>
      </c>
      <c r="D161" t="s">
        <v>1670</v>
      </c>
      <c r="K161"/>
    </row>
    <row r="162" spans="1:11">
      <c r="A162" t="s">
        <v>500</v>
      </c>
      <c r="B162" t="s">
        <v>1688</v>
      </c>
      <c r="C162" t="s">
        <v>1665</v>
      </c>
      <c r="D162" t="s">
        <v>1670</v>
      </c>
      <c r="K162"/>
    </row>
    <row r="163" spans="1:11">
      <c r="A163" t="s">
        <v>501</v>
      </c>
      <c r="B163" t="s">
        <v>1688</v>
      </c>
      <c r="C163" t="s">
        <v>1665</v>
      </c>
      <c r="D163" t="s">
        <v>1670</v>
      </c>
      <c r="K163"/>
    </row>
    <row r="164" spans="1:11">
      <c r="A164" t="s">
        <v>521</v>
      </c>
      <c r="B164" t="s">
        <v>1688</v>
      </c>
      <c r="C164" t="s">
        <v>1665</v>
      </c>
      <c r="D164" t="s">
        <v>1670</v>
      </c>
      <c r="K164"/>
    </row>
    <row r="165" spans="1:11">
      <c r="A165" t="s">
        <v>497</v>
      </c>
      <c r="B165" t="s">
        <v>1688</v>
      </c>
      <c r="C165" t="s">
        <v>1665</v>
      </c>
      <c r="D165" t="s">
        <v>1670</v>
      </c>
      <c r="K165"/>
    </row>
    <row r="166" spans="1:11">
      <c r="A166" t="s">
        <v>504</v>
      </c>
      <c r="B166" t="s">
        <v>1688</v>
      </c>
      <c r="C166" t="s">
        <v>1665</v>
      </c>
      <c r="D166" t="s">
        <v>1670</v>
      </c>
      <c r="K166"/>
    </row>
    <row r="167" spans="1:11">
      <c r="A167" t="s">
        <v>513</v>
      </c>
      <c r="B167" t="s">
        <v>1688</v>
      </c>
      <c r="C167" t="s">
        <v>1665</v>
      </c>
      <c r="D167" t="s">
        <v>1670</v>
      </c>
      <c r="K167"/>
    </row>
    <row r="168" spans="1:11">
      <c r="A168" t="s">
        <v>479</v>
      </c>
      <c r="B168" t="s">
        <v>1688</v>
      </c>
      <c r="C168" t="s">
        <v>1665</v>
      </c>
      <c r="D168" t="s">
        <v>1670</v>
      </c>
      <c r="K168"/>
    </row>
    <row r="169" spans="1:11">
      <c r="A169" t="s">
        <v>490</v>
      </c>
      <c r="B169" t="s">
        <v>1688</v>
      </c>
      <c r="C169" t="s">
        <v>1665</v>
      </c>
      <c r="D169" t="s">
        <v>1670</v>
      </c>
      <c r="K169"/>
    </row>
    <row r="170" spans="1:11">
      <c r="A170" t="s">
        <v>522</v>
      </c>
      <c r="B170" t="s">
        <v>1688</v>
      </c>
      <c r="C170" t="s">
        <v>1665</v>
      </c>
      <c r="D170" t="s">
        <v>1670</v>
      </c>
      <c r="K170"/>
    </row>
    <row r="171" spans="1:11">
      <c r="A171" t="s">
        <v>523</v>
      </c>
      <c r="B171" t="s">
        <v>1688</v>
      </c>
      <c r="C171" t="s">
        <v>1665</v>
      </c>
      <c r="D171" t="s">
        <v>1670</v>
      </c>
      <c r="K171"/>
    </row>
    <row r="172" spans="1:11">
      <c r="A172" t="s">
        <v>493</v>
      </c>
      <c r="B172" t="s">
        <v>1688</v>
      </c>
      <c r="C172" t="s">
        <v>1665</v>
      </c>
      <c r="D172" t="s">
        <v>1670</v>
      </c>
      <c r="K172"/>
    </row>
    <row r="173" spans="1:11">
      <c r="A173" t="s">
        <v>481</v>
      </c>
      <c r="B173" t="s">
        <v>1688</v>
      </c>
      <c r="C173" t="s">
        <v>1665</v>
      </c>
      <c r="D173" t="s">
        <v>1670</v>
      </c>
      <c r="K173"/>
    </row>
    <row r="174" spans="1:11">
      <c r="A174" t="s">
        <v>506</v>
      </c>
      <c r="B174" t="s">
        <v>1688</v>
      </c>
      <c r="C174" t="s">
        <v>1665</v>
      </c>
      <c r="D174" t="s">
        <v>1670</v>
      </c>
      <c r="K174"/>
    </row>
    <row r="175" spans="1:11">
      <c r="A175" t="s">
        <v>524</v>
      </c>
      <c r="B175" t="s">
        <v>1688</v>
      </c>
      <c r="C175" t="s">
        <v>1665</v>
      </c>
      <c r="D175" t="s">
        <v>1670</v>
      </c>
      <c r="K175"/>
    </row>
    <row r="176" spans="1:11">
      <c r="A176" t="s">
        <v>485</v>
      </c>
      <c r="B176" t="s">
        <v>1688</v>
      </c>
      <c r="C176" t="s">
        <v>1665</v>
      </c>
      <c r="D176" t="s">
        <v>1670</v>
      </c>
      <c r="K176"/>
    </row>
    <row r="177" spans="1:11">
      <c r="A177" t="s">
        <v>505</v>
      </c>
      <c r="B177" t="s">
        <v>1688</v>
      </c>
      <c r="C177" t="s">
        <v>1665</v>
      </c>
      <c r="D177" t="s">
        <v>1670</v>
      </c>
      <c r="K177"/>
    </row>
    <row r="178" spans="1:11">
      <c r="A178" t="s">
        <v>484</v>
      </c>
      <c r="B178" t="s">
        <v>1688</v>
      </c>
      <c r="C178" t="s">
        <v>1665</v>
      </c>
      <c r="D178" t="s">
        <v>1670</v>
      </c>
      <c r="K178"/>
    </row>
    <row r="179" spans="1:11">
      <c r="A179" t="s">
        <v>516</v>
      </c>
      <c r="B179" t="s">
        <v>1688</v>
      </c>
      <c r="C179" t="s">
        <v>1665</v>
      </c>
      <c r="D179" t="s">
        <v>1670</v>
      </c>
      <c r="K179"/>
    </row>
    <row r="180" spans="1:11">
      <c r="A180" t="s">
        <v>496</v>
      </c>
      <c r="B180" t="s">
        <v>1688</v>
      </c>
      <c r="C180" t="s">
        <v>1665</v>
      </c>
      <c r="D180" t="s">
        <v>1670</v>
      </c>
      <c r="K180"/>
    </row>
    <row r="181" spans="1:11">
      <c r="A181" t="s">
        <v>499</v>
      </c>
      <c r="B181" t="s">
        <v>1688</v>
      </c>
      <c r="C181" t="s">
        <v>1665</v>
      </c>
      <c r="D181" t="s">
        <v>1670</v>
      </c>
      <c r="K181"/>
    </row>
    <row r="182" spans="1:11">
      <c r="A182" t="s">
        <v>486</v>
      </c>
      <c r="B182" t="s">
        <v>1688</v>
      </c>
      <c r="C182" t="s">
        <v>1665</v>
      </c>
      <c r="D182" t="s">
        <v>1670</v>
      </c>
      <c r="K182"/>
    </row>
    <row r="183" spans="1:11">
      <c r="A183" t="s">
        <v>509</v>
      </c>
      <c r="B183" t="s">
        <v>1688</v>
      </c>
      <c r="C183" t="s">
        <v>1665</v>
      </c>
      <c r="D183" t="s">
        <v>1670</v>
      </c>
      <c r="K183"/>
    </row>
    <row r="184" spans="1:11">
      <c r="A184" t="s">
        <v>482</v>
      </c>
      <c r="B184" t="s">
        <v>1688</v>
      </c>
      <c r="C184" t="s">
        <v>1665</v>
      </c>
      <c r="D184" t="s">
        <v>1670</v>
      </c>
      <c r="K184"/>
    </row>
    <row r="185" spans="1:11">
      <c r="A185" t="s">
        <v>434</v>
      </c>
      <c r="B185" t="s">
        <v>1689</v>
      </c>
      <c r="C185" t="s">
        <v>1661</v>
      </c>
      <c r="D185" t="s">
        <v>1670</v>
      </c>
      <c r="K185"/>
    </row>
    <row r="186" spans="1:11">
      <c r="A186" t="s">
        <v>623</v>
      </c>
      <c r="B186" t="s">
        <v>1689</v>
      </c>
      <c r="C186" t="s">
        <v>1661</v>
      </c>
      <c r="D186" t="s">
        <v>1670</v>
      </c>
      <c r="K186"/>
    </row>
    <row r="187" spans="1:11">
      <c r="A187" t="s">
        <v>378</v>
      </c>
      <c r="B187" t="s">
        <v>1689</v>
      </c>
      <c r="C187" t="s">
        <v>1661</v>
      </c>
      <c r="D187" t="s">
        <v>1670</v>
      </c>
      <c r="K187"/>
    </row>
    <row r="188" spans="1:11">
      <c r="A188" t="s">
        <v>416</v>
      </c>
      <c r="B188" t="s">
        <v>1689</v>
      </c>
      <c r="C188" t="s">
        <v>1661</v>
      </c>
      <c r="D188" t="s">
        <v>1670</v>
      </c>
      <c r="K188"/>
    </row>
    <row r="189" spans="1:11">
      <c r="A189" t="s">
        <v>423</v>
      </c>
      <c r="B189" t="s">
        <v>1689</v>
      </c>
      <c r="C189" t="s">
        <v>1661</v>
      </c>
      <c r="D189" t="s">
        <v>1670</v>
      </c>
      <c r="K189"/>
    </row>
    <row r="190" spans="1:11">
      <c r="A190" t="s">
        <v>424</v>
      </c>
      <c r="B190" t="s">
        <v>1689</v>
      </c>
      <c r="C190" t="s">
        <v>1661</v>
      </c>
      <c r="D190" t="s">
        <v>1670</v>
      </c>
      <c r="K190"/>
    </row>
    <row r="191" spans="1:11">
      <c r="A191" t="s">
        <v>411</v>
      </c>
      <c r="B191" t="s">
        <v>1689</v>
      </c>
      <c r="C191" t="s">
        <v>1668</v>
      </c>
      <c r="D191" t="s">
        <v>1671</v>
      </c>
      <c r="K191"/>
    </row>
    <row r="192" spans="1:11">
      <c r="A192" t="s">
        <v>400</v>
      </c>
      <c r="B192" t="s">
        <v>1689</v>
      </c>
      <c r="C192" t="s">
        <v>1661</v>
      </c>
      <c r="D192" t="s">
        <v>1670</v>
      </c>
      <c r="K192"/>
    </row>
    <row r="193" spans="1:11">
      <c r="A193" t="s">
        <v>472</v>
      </c>
      <c r="B193" t="s">
        <v>1689</v>
      </c>
      <c r="C193" t="s">
        <v>1661</v>
      </c>
      <c r="D193" t="s">
        <v>1670</v>
      </c>
      <c r="K193"/>
    </row>
    <row r="194" spans="1:11">
      <c r="A194" t="s">
        <v>629</v>
      </c>
      <c r="B194" t="s">
        <v>1689</v>
      </c>
      <c r="C194" t="s">
        <v>1661</v>
      </c>
      <c r="D194" t="s">
        <v>1670</v>
      </c>
      <c r="K194"/>
    </row>
    <row r="195" spans="1:11">
      <c r="A195" t="s">
        <v>650</v>
      </c>
      <c r="B195" t="s">
        <v>1689</v>
      </c>
      <c r="C195" t="s">
        <v>1661</v>
      </c>
      <c r="D195" t="s">
        <v>1670</v>
      </c>
      <c r="K195"/>
    </row>
    <row r="196" spans="1:11">
      <c r="A196" t="s">
        <v>456</v>
      </c>
      <c r="B196" t="s">
        <v>1689</v>
      </c>
      <c r="C196" t="s">
        <v>1661</v>
      </c>
      <c r="D196" t="s">
        <v>1670</v>
      </c>
      <c r="K196"/>
    </row>
    <row r="197" spans="1:11">
      <c r="A197" t="s">
        <v>403</v>
      </c>
      <c r="B197" t="s">
        <v>1689</v>
      </c>
      <c r="C197" t="s">
        <v>1661</v>
      </c>
      <c r="D197" t="s">
        <v>1670</v>
      </c>
      <c r="K197"/>
    </row>
    <row r="198" spans="1:11">
      <c r="A198" t="s">
        <v>407</v>
      </c>
      <c r="B198" t="s">
        <v>1689</v>
      </c>
      <c r="C198" t="s">
        <v>1661</v>
      </c>
      <c r="D198" t="s">
        <v>1670</v>
      </c>
      <c r="K198"/>
    </row>
    <row r="199" spans="1:11">
      <c r="A199" t="s">
        <v>389</v>
      </c>
      <c r="B199" t="s">
        <v>1689</v>
      </c>
      <c r="C199" t="s">
        <v>1661</v>
      </c>
      <c r="D199" t="s">
        <v>1670</v>
      </c>
      <c r="K199"/>
    </row>
    <row r="200" spans="1:11">
      <c r="A200" t="s">
        <v>402</v>
      </c>
      <c r="B200" t="s">
        <v>1689</v>
      </c>
      <c r="C200" t="s">
        <v>1664</v>
      </c>
      <c r="D200" t="s">
        <v>1670</v>
      </c>
      <c r="K200"/>
    </row>
    <row r="201" spans="1:11">
      <c r="A201" t="s">
        <v>439</v>
      </c>
      <c r="B201" t="s">
        <v>1689</v>
      </c>
      <c r="C201" t="s">
        <v>1661</v>
      </c>
      <c r="D201" t="s">
        <v>1670</v>
      </c>
      <c r="K201"/>
    </row>
    <row r="202" spans="1:11">
      <c r="A202" t="s">
        <v>438</v>
      </c>
      <c r="B202" t="s">
        <v>1689</v>
      </c>
      <c r="C202" t="s">
        <v>1661</v>
      </c>
      <c r="D202" t="s">
        <v>1670</v>
      </c>
      <c r="K202"/>
    </row>
    <row r="203" spans="1:11">
      <c r="A203" t="s">
        <v>437</v>
      </c>
      <c r="B203" t="s">
        <v>1689</v>
      </c>
      <c r="C203" t="s">
        <v>1661</v>
      </c>
      <c r="D203" t="s">
        <v>1670</v>
      </c>
      <c r="K203"/>
    </row>
    <row r="204" spans="1:11">
      <c r="A204" t="s">
        <v>436</v>
      </c>
      <c r="B204" t="s">
        <v>1689</v>
      </c>
      <c r="C204" t="s">
        <v>1661</v>
      </c>
      <c r="D204" t="s">
        <v>1670</v>
      </c>
      <c r="K204"/>
    </row>
    <row r="205" spans="1:11">
      <c r="A205" t="s">
        <v>435</v>
      </c>
      <c r="B205" t="s">
        <v>1689</v>
      </c>
      <c r="C205" t="s">
        <v>1661</v>
      </c>
      <c r="D205" t="s">
        <v>1670</v>
      </c>
      <c r="K205"/>
    </row>
    <row r="206" spans="1:11">
      <c r="A206" t="s">
        <v>441</v>
      </c>
      <c r="B206" t="s">
        <v>1689</v>
      </c>
      <c r="C206" t="s">
        <v>1661</v>
      </c>
      <c r="D206" t="s">
        <v>1670</v>
      </c>
      <c r="K206"/>
    </row>
    <row r="207" spans="1:11">
      <c r="A207" t="s">
        <v>408</v>
      </c>
      <c r="B207" t="s">
        <v>1689</v>
      </c>
      <c r="C207" t="s">
        <v>1661</v>
      </c>
      <c r="D207" t="s">
        <v>1670</v>
      </c>
      <c r="K207"/>
    </row>
    <row r="208" spans="1:11">
      <c r="A208" t="s">
        <v>464</v>
      </c>
      <c r="B208" t="s">
        <v>1689</v>
      </c>
      <c r="C208" t="s">
        <v>1661</v>
      </c>
      <c r="D208" t="s">
        <v>1670</v>
      </c>
      <c r="K208"/>
    </row>
    <row r="209" spans="1:11">
      <c r="A209" t="s">
        <v>448</v>
      </c>
      <c r="B209" t="s">
        <v>1689</v>
      </c>
      <c r="C209" t="s">
        <v>1661</v>
      </c>
      <c r="D209" t="s">
        <v>1670</v>
      </c>
      <c r="K209"/>
    </row>
    <row r="210" spans="1:11">
      <c r="A210" t="s">
        <v>654</v>
      </c>
      <c r="B210" t="s">
        <v>1689</v>
      </c>
      <c r="C210" t="s">
        <v>1661</v>
      </c>
      <c r="D210" t="s">
        <v>1670</v>
      </c>
      <c r="K210"/>
    </row>
    <row r="211" spans="1:11">
      <c r="A211" t="s">
        <v>457</v>
      </c>
      <c r="B211" t="s">
        <v>1689</v>
      </c>
      <c r="C211" t="s">
        <v>1661</v>
      </c>
      <c r="D211" t="s">
        <v>1670</v>
      </c>
      <c r="K211"/>
    </row>
    <row r="212" spans="1:11">
      <c r="A212" t="s">
        <v>459</v>
      </c>
      <c r="B212" t="s">
        <v>1689</v>
      </c>
      <c r="C212" t="s">
        <v>1661</v>
      </c>
      <c r="D212" t="s">
        <v>1670</v>
      </c>
      <c r="K212"/>
    </row>
    <row r="213" spans="1:11">
      <c r="A213" t="s">
        <v>458</v>
      </c>
      <c r="B213" t="s">
        <v>1689</v>
      </c>
      <c r="C213" t="s">
        <v>1661</v>
      </c>
      <c r="D213" t="s">
        <v>1670</v>
      </c>
      <c r="K213"/>
    </row>
    <row r="214" spans="1:11">
      <c r="A214" t="s">
        <v>383</v>
      </c>
      <c r="B214" t="s">
        <v>1689</v>
      </c>
      <c r="C214" t="s">
        <v>1661</v>
      </c>
      <c r="D214" t="s">
        <v>1670</v>
      </c>
      <c r="K214"/>
    </row>
    <row r="215" spans="1:11">
      <c r="A215" t="s">
        <v>471</v>
      </c>
      <c r="B215" t="s">
        <v>1689</v>
      </c>
      <c r="C215" t="s">
        <v>1661</v>
      </c>
      <c r="D215" t="s">
        <v>1670</v>
      </c>
      <c r="K215"/>
    </row>
    <row r="216" spans="1:11">
      <c r="A216" t="s">
        <v>417</v>
      </c>
      <c r="B216" t="s">
        <v>1689</v>
      </c>
      <c r="C216" t="s">
        <v>1661</v>
      </c>
      <c r="D216" t="s">
        <v>1670</v>
      </c>
      <c r="K216"/>
    </row>
    <row r="217" spans="1:11">
      <c r="A217" t="s">
        <v>414</v>
      </c>
      <c r="B217" t="s">
        <v>1689</v>
      </c>
      <c r="C217" t="s">
        <v>1661</v>
      </c>
      <c r="D217" t="s">
        <v>1670</v>
      </c>
      <c r="K217"/>
    </row>
    <row r="218" spans="1:11">
      <c r="A218" t="s">
        <v>412</v>
      </c>
      <c r="B218" t="s">
        <v>1689</v>
      </c>
      <c r="C218" t="s">
        <v>1661</v>
      </c>
      <c r="D218" t="s">
        <v>1670</v>
      </c>
      <c r="K218"/>
    </row>
    <row r="219" spans="1:11">
      <c r="A219" t="s">
        <v>460</v>
      </c>
      <c r="B219" t="s">
        <v>1689</v>
      </c>
      <c r="C219" t="s">
        <v>1661</v>
      </c>
      <c r="D219" t="s">
        <v>1670</v>
      </c>
      <c r="K219"/>
    </row>
    <row r="220" spans="1:11">
      <c r="A220" t="s">
        <v>466</v>
      </c>
      <c r="B220" t="s">
        <v>1689</v>
      </c>
      <c r="C220" t="s">
        <v>1661</v>
      </c>
      <c r="D220" t="s">
        <v>1670</v>
      </c>
      <c r="K220"/>
    </row>
    <row r="221" spans="1:11">
      <c r="A221" t="s">
        <v>418</v>
      </c>
      <c r="B221" t="s">
        <v>1689</v>
      </c>
      <c r="C221" t="s">
        <v>1661</v>
      </c>
      <c r="D221" t="s">
        <v>1670</v>
      </c>
      <c r="K221"/>
    </row>
    <row r="222" spans="1:11">
      <c r="A222" t="s">
        <v>430</v>
      </c>
      <c r="B222" t="s">
        <v>1689</v>
      </c>
      <c r="C222" t="s">
        <v>1668</v>
      </c>
      <c r="D222" t="s">
        <v>1671</v>
      </c>
      <c r="K222"/>
    </row>
    <row r="223" spans="1:11">
      <c r="A223" t="s">
        <v>442</v>
      </c>
      <c r="B223" t="s">
        <v>1689</v>
      </c>
      <c r="C223" t="s">
        <v>1661</v>
      </c>
      <c r="D223" t="s">
        <v>1670</v>
      </c>
      <c r="K223"/>
    </row>
    <row r="224" spans="1:11">
      <c r="A224" t="s">
        <v>653</v>
      </c>
      <c r="B224" t="s">
        <v>1689</v>
      </c>
      <c r="C224" t="s">
        <v>1661</v>
      </c>
      <c r="D224" t="s">
        <v>1670</v>
      </c>
      <c r="K224"/>
    </row>
    <row r="225" spans="1:11">
      <c r="A225" t="s">
        <v>382</v>
      </c>
      <c r="B225" t="s">
        <v>1689</v>
      </c>
      <c r="C225" t="s">
        <v>1668</v>
      </c>
      <c r="D225" t="s">
        <v>1671</v>
      </c>
      <c r="K225"/>
    </row>
    <row r="226" spans="1:11">
      <c r="A226" t="s">
        <v>405</v>
      </c>
      <c r="B226" t="s">
        <v>1689</v>
      </c>
      <c r="C226" t="s">
        <v>1661</v>
      </c>
      <c r="D226" t="s">
        <v>1670</v>
      </c>
      <c r="K226"/>
    </row>
    <row r="227" spans="1:11">
      <c r="A227" t="s">
        <v>384</v>
      </c>
      <c r="B227" t="s">
        <v>1689</v>
      </c>
      <c r="C227" t="s">
        <v>1661</v>
      </c>
      <c r="D227" t="s">
        <v>1670</v>
      </c>
      <c r="K227"/>
    </row>
    <row r="228" spans="1:11">
      <c r="A228" t="s">
        <v>397</v>
      </c>
      <c r="B228" t="s">
        <v>1689</v>
      </c>
      <c r="C228" t="s">
        <v>1661</v>
      </c>
      <c r="D228" t="s">
        <v>1670</v>
      </c>
      <c r="K228"/>
    </row>
    <row r="229" spans="1:11">
      <c r="A229" t="s">
        <v>390</v>
      </c>
      <c r="B229" t="s">
        <v>1689</v>
      </c>
      <c r="C229" t="s">
        <v>1661</v>
      </c>
      <c r="D229" t="s">
        <v>1670</v>
      </c>
      <c r="K229"/>
    </row>
    <row r="230" spans="1:11">
      <c r="A230" t="s">
        <v>398</v>
      </c>
      <c r="B230" t="s">
        <v>1689</v>
      </c>
      <c r="C230" t="s">
        <v>1661</v>
      </c>
      <c r="D230" t="s">
        <v>1670</v>
      </c>
      <c r="K230"/>
    </row>
    <row r="231" spans="1:11">
      <c r="A231" t="s">
        <v>449</v>
      </c>
      <c r="B231" t="s">
        <v>1689</v>
      </c>
      <c r="C231" t="s">
        <v>1661</v>
      </c>
      <c r="D231" t="s">
        <v>1670</v>
      </c>
      <c r="K231"/>
    </row>
    <row r="232" spans="1:11">
      <c r="A232" t="s">
        <v>467</v>
      </c>
      <c r="B232" t="s">
        <v>1689</v>
      </c>
      <c r="C232" t="s">
        <v>1668</v>
      </c>
      <c r="D232" t="s">
        <v>1671</v>
      </c>
      <c r="K232"/>
    </row>
    <row r="233" spans="1:11">
      <c r="A233" t="s">
        <v>399</v>
      </c>
      <c r="B233" t="s">
        <v>1689</v>
      </c>
      <c r="C233" t="s">
        <v>1661</v>
      </c>
      <c r="D233" t="s">
        <v>1670</v>
      </c>
      <c r="K233"/>
    </row>
    <row r="234" spans="1:11">
      <c r="A234" t="s">
        <v>396</v>
      </c>
      <c r="B234" t="s">
        <v>1689</v>
      </c>
      <c r="C234" t="s">
        <v>1668</v>
      </c>
      <c r="D234" t="s">
        <v>1674</v>
      </c>
      <c r="K234"/>
    </row>
    <row r="235" spans="1:11">
      <c r="A235" t="s">
        <v>381</v>
      </c>
      <c r="B235" t="s">
        <v>1689</v>
      </c>
      <c r="C235" t="s">
        <v>1661</v>
      </c>
      <c r="D235" t="s">
        <v>1670</v>
      </c>
      <c r="K235"/>
    </row>
    <row r="236" spans="1:11">
      <c r="A236" t="s">
        <v>374</v>
      </c>
      <c r="B236" t="s">
        <v>1689</v>
      </c>
      <c r="C236" t="s">
        <v>1661</v>
      </c>
      <c r="D236" t="s">
        <v>1670</v>
      </c>
      <c r="K236"/>
    </row>
    <row r="237" spans="1:11">
      <c r="A237" t="s">
        <v>375</v>
      </c>
      <c r="B237" t="s">
        <v>1689</v>
      </c>
      <c r="C237" t="s">
        <v>1661</v>
      </c>
      <c r="D237" t="s">
        <v>1670</v>
      </c>
      <c r="K237"/>
    </row>
    <row r="238" spans="1:11">
      <c r="A238" t="s">
        <v>621</v>
      </c>
      <c r="B238" t="s">
        <v>1689</v>
      </c>
      <c r="C238" t="s">
        <v>1661</v>
      </c>
      <c r="D238" t="s">
        <v>1670</v>
      </c>
      <c r="K238"/>
    </row>
    <row r="239" spans="1:11">
      <c r="A239" t="s">
        <v>468</v>
      </c>
      <c r="B239" t="s">
        <v>1689</v>
      </c>
      <c r="C239" t="s">
        <v>1661</v>
      </c>
      <c r="D239" t="s">
        <v>1670</v>
      </c>
      <c r="K239"/>
    </row>
    <row r="240" spans="1:11">
      <c r="A240" t="s">
        <v>620</v>
      </c>
      <c r="B240" t="s">
        <v>1689</v>
      </c>
      <c r="C240" t="s">
        <v>1668</v>
      </c>
      <c r="D240" t="s">
        <v>1674</v>
      </c>
      <c r="K240"/>
    </row>
    <row r="241" spans="1:11">
      <c r="A241" t="s">
        <v>461</v>
      </c>
      <c r="B241" t="s">
        <v>1689</v>
      </c>
      <c r="C241" t="s">
        <v>1668</v>
      </c>
      <c r="D241" t="s">
        <v>1674</v>
      </c>
      <c r="K241"/>
    </row>
    <row r="242" spans="1:11">
      <c r="A242" t="s">
        <v>655</v>
      </c>
      <c r="B242" t="s">
        <v>1689</v>
      </c>
      <c r="C242" t="s">
        <v>1661</v>
      </c>
      <c r="D242" t="s">
        <v>1670</v>
      </c>
      <c r="K242"/>
    </row>
    <row r="243" spans="1:11">
      <c r="A243" t="s">
        <v>656</v>
      </c>
      <c r="B243" t="s">
        <v>1689</v>
      </c>
      <c r="C243" t="s">
        <v>1668</v>
      </c>
      <c r="D243" t="s">
        <v>1674</v>
      </c>
      <c r="K243"/>
    </row>
    <row r="244" spans="1:11">
      <c r="A244" t="s">
        <v>450</v>
      </c>
      <c r="B244" t="s">
        <v>1689</v>
      </c>
      <c r="C244" t="s">
        <v>1661</v>
      </c>
      <c r="D244" t="s">
        <v>1670</v>
      </c>
      <c r="K244"/>
    </row>
    <row r="245" spans="1:11">
      <c r="A245" t="s">
        <v>453</v>
      </c>
      <c r="B245" t="s">
        <v>1689</v>
      </c>
      <c r="C245" t="s">
        <v>1661</v>
      </c>
      <c r="D245" t="s">
        <v>1670</v>
      </c>
      <c r="K245"/>
    </row>
    <row r="246" spans="1:11">
      <c r="A246" t="s">
        <v>454</v>
      </c>
      <c r="B246" t="s">
        <v>1689</v>
      </c>
      <c r="C246" t="s">
        <v>1661</v>
      </c>
      <c r="D246" t="s">
        <v>1670</v>
      </c>
      <c r="K246"/>
    </row>
    <row r="247" spans="1:11">
      <c r="A247" t="s">
        <v>404</v>
      </c>
      <c r="B247" t="s">
        <v>1689</v>
      </c>
      <c r="C247" t="s">
        <v>1661</v>
      </c>
      <c r="D247" t="s">
        <v>1670</v>
      </c>
      <c r="K247"/>
    </row>
    <row r="248" spans="1:11">
      <c r="A248" t="s">
        <v>451</v>
      </c>
      <c r="B248" t="s">
        <v>1689</v>
      </c>
      <c r="C248" t="s">
        <v>1661</v>
      </c>
      <c r="D248" t="s">
        <v>1670</v>
      </c>
      <c r="K248"/>
    </row>
    <row r="249" spans="1:11">
      <c r="A249" t="s">
        <v>376</v>
      </c>
      <c r="B249" t="s">
        <v>1689</v>
      </c>
      <c r="C249" t="s">
        <v>1661</v>
      </c>
      <c r="D249" t="s">
        <v>1670</v>
      </c>
      <c r="K249"/>
    </row>
    <row r="250" spans="1:11">
      <c r="A250" t="s">
        <v>377</v>
      </c>
      <c r="B250" t="s">
        <v>1689</v>
      </c>
      <c r="C250" t="s">
        <v>1661</v>
      </c>
      <c r="D250" t="s">
        <v>1670</v>
      </c>
      <c r="K250"/>
    </row>
    <row r="251" spans="1:11">
      <c r="A251" t="s">
        <v>455</v>
      </c>
      <c r="B251" t="s">
        <v>1689</v>
      </c>
      <c r="C251" t="s">
        <v>1661</v>
      </c>
      <c r="D251" t="s">
        <v>1670</v>
      </c>
      <c r="K251"/>
    </row>
    <row r="252" spans="1:11">
      <c r="A252" t="s">
        <v>622</v>
      </c>
      <c r="B252" t="s">
        <v>1689</v>
      </c>
      <c r="C252" t="s">
        <v>1661</v>
      </c>
      <c r="D252" t="s">
        <v>1670</v>
      </c>
      <c r="K252"/>
    </row>
    <row r="253" spans="1:11">
      <c r="A253" t="s">
        <v>632</v>
      </c>
      <c r="B253" t="s">
        <v>1689</v>
      </c>
      <c r="C253" t="s">
        <v>1661</v>
      </c>
      <c r="D253" t="s">
        <v>1670</v>
      </c>
      <c r="K253"/>
    </row>
    <row r="254" spans="1:11">
      <c r="A254" t="s">
        <v>413</v>
      </c>
      <c r="B254" t="s">
        <v>1689</v>
      </c>
      <c r="C254" t="s">
        <v>1661</v>
      </c>
      <c r="D254" t="s">
        <v>1670</v>
      </c>
      <c r="K254"/>
    </row>
    <row r="255" spans="1:11">
      <c r="A255" t="s">
        <v>429</v>
      </c>
      <c r="B255" t="s">
        <v>1689</v>
      </c>
      <c r="C255" t="s">
        <v>1661</v>
      </c>
      <c r="D255" t="s">
        <v>1670</v>
      </c>
      <c r="K255"/>
    </row>
    <row r="256" spans="1:11">
      <c r="A256" t="s">
        <v>409</v>
      </c>
      <c r="B256" t="s">
        <v>1689</v>
      </c>
      <c r="C256" t="s">
        <v>1661</v>
      </c>
      <c r="D256" t="s">
        <v>1670</v>
      </c>
      <c r="K256"/>
    </row>
    <row r="257" spans="1:11">
      <c r="A257" t="s">
        <v>394</v>
      </c>
      <c r="B257" t="s">
        <v>1689</v>
      </c>
      <c r="C257" t="s">
        <v>1661</v>
      </c>
      <c r="D257" t="s">
        <v>1670</v>
      </c>
      <c r="K257"/>
    </row>
    <row r="258" spans="1:11">
      <c r="A258" t="s">
        <v>393</v>
      </c>
      <c r="B258" t="s">
        <v>1689</v>
      </c>
      <c r="C258" t="s">
        <v>1668</v>
      </c>
      <c r="D258" t="s">
        <v>1674</v>
      </c>
      <c r="K258"/>
    </row>
    <row r="259" spans="1:11">
      <c r="A259" t="s">
        <v>392</v>
      </c>
      <c r="B259" t="s">
        <v>1689</v>
      </c>
      <c r="C259" t="s">
        <v>1661</v>
      </c>
      <c r="D259" t="s">
        <v>1670</v>
      </c>
      <c r="K259"/>
    </row>
    <row r="260" spans="1:11">
      <c r="A260" t="s">
        <v>443</v>
      </c>
      <c r="B260" t="s">
        <v>1689</v>
      </c>
      <c r="C260" t="s">
        <v>1661</v>
      </c>
      <c r="D260" t="s">
        <v>1670</v>
      </c>
      <c r="K260"/>
    </row>
    <row r="261" spans="1:11">
      <c r="A261" t="s">
        <v>444</v>
      </c>
      <c r="B261" t="s">
        <v>1689</v>
      </c>
      <c r="C261" t="s">
        <v>1661</v>
      </c>
      <c r="D261" t="s">
        <v>1670</v>
      </c>
      <c r="K261"/>
    </row>
    <row r="262" spans="1:11">
      <c r="A262" t="s">
        <v>648</v>
      </c>
      <c r="B262" t="s">
        <v>1689</v>
      </c>
      <c r="C262" t="s">
        <v>1661</v>
      </c>
      <c r="D262" t="s">
        <v>1670</v>
      </c>
      <c r="K262"/>
    </row>
    <row r="263" spans="1:11">
      <c r="A263" t="s">
        <v>657</v>
      </c>
      <c r="B263" t="s">
        <v>1689</v>
      </c>
      <c r="C263" t="s">
        <v>1661</v>
      </c>
      <c r="D263" t="s">
        <v>1670</v>
      </c>
      <c r="K263"/>
    </row>
    <row r="264" spans="1:11">
      <c r="A264" t="s">
        <v>645</v>
      </c>
      <c r="B264" t="s">
        <v>1689</v>
      </c>
      <c r="C264" t="s">
        <v>1668</v>
      </c>
      <c r="D264" t="s">
        <v>1674</v>
      </c>
      <c r="K264"/>
    </row>
    <row r="265" spans="1:11">
      <c r="A265" t="s">
        <v>644</v>
      </c>
      <c r="B265" t="s">
        <v>1689</v>
      </c>
      <c r="C265" t="s">
        <v>1668</v>
      </c>
      <c r="D265" t="s">
        <v>1674</v>
      </c>
      <c r="K265"/>
    </row>
    <row r="266" spans="1:11">
      <c r="A266" t="s">
        <v>646</v>
      </c>
      <c r="B266" t="s">
        <v>1689</v>
      </c>
      <c r="C266" t="s">
        <v>1661</v>
      </c>
      <c r="D266" t="s">
        <v>1670</v>
      </c>
      <c r="K266"/>
    </row>
    <row r="267" spans="1:11">
      <c r="A267" t="s">
        <v>652</v>
      </c>
      <c r="B267" t="s">
        <v>1689</v>
      </c>
      <c r="C267" t="s">
        <v>1661</v>
      </c>
      <c r="D267" t="s">
        <v>1670</v>
      </c>
      <c r="K267"/>
    </row>
    <row r="268" spans="1:11">
      <c r="A268" t="s">
        <v>651</v>
      </c>
      <c r="B268" t="s">
        <v>1689</v>
      </c>
      <c r="C268" t="s">
        <v>1668</v>
      </c>
      <c r="D268" t="s">
        <v>1674</v>
      </c>
      <c r="K268"/>
    </row>
    <row r="269" spans="1:11">
      <c r="A269" t="s">
        <v>395</v>
      </c>
      <c r="B269" t="s">
        <v>1689</v>
      </c>
      <c r="C269" t="s">
        <v>1661</v>
      </c>
      <c r="D269" t="s">
        <v>1670</v>
      </c>
      <c r="K269"/>
    </row>
    <row r="270" spans="1:11">
      <c r="A270" t="s">
        <v>631</v>
      </c>
      <c r="B270" t="s">
        <v>1689</v>
      </c>
      <c r="C270" t="s">
        <v>1661</v>
      </c>
      <c r="D270" t="s">
        <v>1670</v>
      </c>
      <c r="K270"/>
    </row>
    <row r="271" spans="1:11">
      <c r="A271" t="s">
        <v>445</v>
      </c>
      <c r="B271" t="s">
        <v>1689</v>
      </c>
      <c r="C271" t="s">
        <v>1661</v>
      </c>
      <c r="D271" t="s">
        <v>1670</v>
      </c>
      <c r="K271"/>
    </row>
    <row r="272" spans="1:11">
      <c r="A272" t="s">
        <v>624</v>
      </c>
      <c r="B272" t="s">
        <v>1689</v>
      </c>
      <c r="C272" t="s">
        <v>1661</v>
      </c>
      <c r="D272" t="s">
        <v>1670</v>
      </c>
      <c r="K272"/>
    </row>
    <row r="273" spans="1:11">
      <c r="A273" t="s">
        <v>625</v>
      </c>
      <c r="B273" t="s">
        <v>1689</v>
      </c>
      <c r="C273" t="s">
        <v>1661</v>
      </c>
      <c r="D273" t="s">
        <v>1670</v>
      </c>
      <c r="K273"/>
    </row>
    <row r="274" spans="1:11">
      <c r="A274" t="s">
        <v>626</v>
      </c>
      <c r="B274" t="s">
        <v>1689</v>
      </c>
      <c r="C274" t="s">
        <v>1661</v>
      </c>
      <c r="D274" t="s">
        <v>1670</v>
      </c>
      <c r="K274"/>
    </row>
    <row r="275" spans="1:11">
      <c r="A275" t="s">
        <v>630</v>
      </c>
      <c r="B275" t="s">
        <v>1689</v>
      </c>
      <c r="C275" t="s">
        <v>1661</v>
      </c>
      <c r="D275" t="s">
        <v>1670</v>
      </c>
      <c r="K275"/>
    </row>
    <row r="276" spans="1:11">
      <c r="A276" t="s">
        <v>406</v>
      </c>
      <c r="B276" t="s">
        <v>1689</v>
      </c>
      <c r="C276" t="s">
        <v>1661</v>
      </c>
      <c r="D276" t="s">
        <v>1670</v>
      </c>
      <c r="K276"/>
    </row>
    <row r="277" spans="1:11">
      <c r="A277" t="s">
        <v>391</v>
      </c>
      <c r="B277" t="s">
        <v>1689</v>
      </c>
      <c r="C277" t="s">
        <v>1661</v>
      </c>
      <c r="D277" t="s">
        <v>1670</v>
      </c>
      <c r="K277"/>
    </row>
    <row r="278" spans="1:11">
      <c r="A278" t="s">
        <v>446</v>
      </c>
      <c r="B278" t="s">
        <v>1689</v>
      </c>
      <c r="C278" t="s">
        <v>1661</v>
      </c>
      <c r="D278" t="s">
        <v>1670</v>
      </c>
      <c r="K278"/>
    </row>
    <row r="279" spans="1:11">
      <c r="A279" t="s">
        <v>401</v>
      </c>
      <c r="B279" t="s">
        <v>1689</v>
      </c>
      <c r="C279" t="s">
        <v>1661</v>
      </c>
      <c r="D279" t="s">
        <v>1670</v>
      </c>
      <c r="K279"/>
    </row>
    <row r="280" spans="1:11">
      <c r="A280" t="s">
        <v>465</v>
      </c>
      <c r="B280" t="s">
        <v>1689</v>
      </c>
      <c r="C280" t="s">
        <v>1661</v>
      </c>
      <c r="D280" t="s">
        <v>1670</v>
      </c>
      <c r="K280"/>
    </row>
    <row r="281" spans="1:11">
      <c r="A281" t="s">
        <v>425</v>
      </c>
      <c r="B281" t="s">
        <v>1689</v>
      </c>
      <c r="C281" t="s">
        <v>1662</v>
      </c>
      <c r="D281" t="s">
        <v>1674</v>
      </c>
      <c r="K281"/>
    </row>
    <row r="282" spans="1:11">
      <c r="A282" t="s">
        <v>426</v>
      </c>
      <c r="B282" t="s">
        <v>1689</v>
      </c>
      <c r="C282" t="s">
        <v>1668</v>
      </c>
      <c r="D282" t="s">
        <v>1674</v>
      </c>
      <c r="K282"/>
    </row>
    <row r="283" spans="1:11">
      <c r="A283" t="s">
        <v>428</v>
      </c>
      <c r="B283" t="s">
        <v>1689</v>
      </c>
      <c r="C283" t="s">
        <v>1661</v>
      </c>
      <c r="D283" t="s">
        <v>1670</v>
      </c>
      <c r="K283"/>
    </row>
    <row r="284" spans="1:11">
      <c r="A284" t="s">
        <v>427</v>
      </c>
      <c r="B284" t="s">
        <v>1689</v>
      </c>
      <c r="C284" t="s">
        <v>1662</v>
      </c>
      <c r="D284" t="s">
        <v>1673</v>
      </c>
      <c r="K284"/>
    </row>
    <row r="285" spans="1:11">
      <c r="A285" t="s">
        <v>419</v>
      </c>
      <c r="B285" t="s">
        <v>1689</v>
      </c>
      <c r="C285" t="s">
        <v>1661</v>
      </c>
      <c r="D285" t="s">
        <v>1670</v>
      </c>
      <c r="K285"/>
    </row>
    <row r="286" spans="1:11">
      <c r="A286" t="s">
        <v>619</v>
      </c>
      <c r="B286" t="s">
        <v>1689</v>
      </c>
      <c r="C286" t="s">
        <v>1661</v>
      </c>
      <c r="D286" t="s">
        <v>1670</v>
      </c>
      <c r="K286"/>
    </row>
    <row r="287" spans="1:11">
      <c r="A287" t="s">
        <v>627</v>
      </c>
      <c r="B287" t="s">
        <v>1689</v>
      </c>
      <c r="C287" t="s">
        <v>1661</v>
      </c>
      <c r="D287" t="s">
        <v>1670</v>
      </c>
      <c r="K287"/>
    </row>
    <row r="288" spans="1:11">
      <c r="A288" t="s">
        <v>628</v>
      </c>
      <c r="B288" t="s">
        <v>1689</v>
      </c>
      <c r="C288" t="s">
        <v>1668</v>
      </c>
      <c r="D288" t="s">
        <v>1671</v>
      </c>
      <c r="K288"/>
    </row>
    <row r="289" spans="1:11">
      <c r="A289" t="s">
        <v>420</v>
      </c>
      <c r="B289" t="s">
        <v>1689</v>
      </c>
      <c r="C289" t="s">
        <v>1661</v>
      </c>
      <c r="D289" t="s">
        <v>1670</v>
      </c>
      <c r="K289"/>
    </row>
    <row r="290" spans="1:11">
      <c r="A290" t="s">
        <v>422</v>
      </c>
      <c r="B290" t="s">
        <v>1689</v>
      </c>
      <c r="C290" t="s">
        <v>1661</v>
      </c>
      <c r="D290" t="s">
        <v>1670</v>
      </c>
      <c r="K290"/>
    </row>
    <row r="291" spans="1:11">
      <c r="A291" t="s">
        <v>421</v>
      </c>
      <c r="B291" t="s">
        <v>1689</v>
      </c>
      <c r="C291" t="s">
        <v>1661</v>
      </c>
      <c r="D291" t="s">
        <v>1670</v>
      </c>
      <c r="K291"/>
    </row>
    <row r="292" spans="1:11">
      <c r="A292" t="s">
        <v>385</v>
      </c>
      <c r="B292" t="s">
        <v>1689</v>
      </c>
      <c r="C292" t="s">
        <v>1661</v>
      </c>
      <c r="D292" t="s">
        <v>1670</v>
      </c>
      <c r="K292"/>
    </row>
    <row r="293" spans="1:11">
      <c r="A293" t="s">
        <v>452</v>
      </c>
      <c r="B293" t="s">
        <v>1689</v>
      </c>
      <c r="C293" t="s">
        <v>1661</v>
      </c>
      <c r="D293" t="s">
        <v>1670</v>
      </c>
      <c r="K293"/>
    </row>
    <row r="294" spans="1:11">
      <c r="A294" t="s">
        <v>469</v>
      </c>
      <c r="B294" t="s">
        <v>1689</v>
      </c>
      <c r="C294" t="s">
        <v>1661</v>
      </c>
      <c r="D294" t="s">
        <v>1670</v>
      </c>
      <c r="K294"/>
    </row>
    <row r="295" spans="1:11">
      <c r="A295" t="s">
        <v>386</v>
      </c>
      <c r="B295" t="s">
        <v>1689</v>
      </c>
      <c r="C295" t="s">
        <v>1661</v>
      </c>
      <c r="D295" t="s">
        <v>1670</v>
      </c>
      <c r="K295"/>
    </row>
    <row r="296" spans="1:11">
      <c r="A296" t="s">
        <v>373</v>
      </c>
      <c r="B296" t="s">
        <v>1689</v>
      </c>
      <c r="C296" t="s">
        <v>1661</v>
      </c>
      <c r="D296" t="s">
        <v>1670</v>
      </c>
      <c r="K296"/>
    </row>
    <row r="297" spans="1:11">
      <c r="A297" t="s">
        <v>379</v>
      </c>
      <c r="B297" t="s">
        <v>1689</v>
      </c>
      <c r="C297" t="s">
        <v>1661</v>
      </c>
      <c r="D297" t="s">
        <v>1670</v>
      </c>
      <c r="K297"/>
    </row>
    <row r="298" spans="1:11">
      <c r="A298" t="s">
        <v>649</v>
      </c>
      <c r="B298" t="s">
        <v>1689</v>
      </c>
      <c r="C298" t="s">
        <v>1662</v>
      </c>
      <c r="D298" t="s">
        <v>1670</v>
      </c>
      <c r="K298"/>
    </row>
    <row r="299" spans="1:11">
      <c r="A299" t="s">
        <v>647</v>
      </c>
      <c r="B299" t="s">
        <v>1689</v>
      </c>
      <c r="C299" t="s">
        <v>1662</v>
      </c>
      <c r="D299" t="s">
        <v>1670</v>
      </c>
      <c r="K299"/>
    </row>
    <row r="300" spans="1:11">
      <c r="A300" t="s">
        <v>447</v>
      </c>
      <c r="B300" t="s">
        <v>1689</v>
      </c>
      <c r="C300" t="s">
        <v>1661</v>
      </c>
      <c r="D300" t="s">
        <v>1670</v>
      </c>
      <c r="K300"/>
    </row>
    <row r="301" spans="1:11">
      <c r="A301" t="s">
        <v>470</v>
      </c>
      <c r="B301" t="s">
        <v>1689</v>
      </c>
      <c r="C301" t="s">
        <v>1661</v>
      </c>
      <c r="D301" t="s">
        <v>1670</v>
      </c>
      <c r="K301"/>
    </row>
    <row r="302" spans="1:11">
      <c r="A302" t="s">
        <v>462</v>
      </c>
      <c r="B302" t="s">
        <v>1689</v>
      </c>
      <c r="C302" t="s">
        <v>1661</v>
      </c>
      <c r="D302" t="s">
        <v>1670</v>
      </c>
      <c r="K302"/>
    </row>
    <row r="303" spans="1:11">
      <c r="A303" t="s">
        <v>463</v>
      </c>
      <c r="B303" t="s">
        <v>1689</v>
      </c>
      <c r="C303" t="s">
        <v>1661</v>
      </c>
      <c r="D303" t="s">
        <v>1670</v>
      </c>
      <c r="K303"/>
    </row>
    <row r="304" spans="1:11">
      <c r="A304" t="s">
        <v>432</v>
      </c>
      <c r="B304" t="s">
        <v>1689</v>
      </c>
      <c r="C304" t="s">
        <v>1664</v>
      </c>
      <c r="D304" t="s">
        <v>1670</v>
      </c>
      <c r="K304"/>
    </row>
    <row r="305" spans="1:11">
      <c r="A305" t="s">
        <v>388</v>
      </c>
      <c r="B305" t="s">
        <v>1689</v>
      </c>
      <c r="C305" t="s">
        <v>1664</v>
      </c>
      <c r="D305" t="s">
        <v>1670</v>
      </c>
      <c r="K305"/>
    </row>
    <row r="306" spans="1:11">
      <c r="A306" t="s">
        <v>387</v>
      </c>
      <c r="B306" t="s">
        <v>1689</v>
      </c>
      <c r="C306" t="s">
        <v>1661</v>
      </c>
      <c r="D306" t="s">
        <v>1670</v>
      </c>
      <c r="K306"/>
    </row>
    <row r="307" spans="1:11">
      <c r="A307" t="s">
        <v>380</v>
      </c>
      <c r="B307" t="s">
        <v>1689</v>
      </c>
      <c r="C307" t="s">
        <v>1661</v>
      </c>
      <c r="D307" t="s">
        <v>1670</v>
      </c>
      <c r="K307"/>
    </row>
    <row r="308" spans="1:11">
      <c r="A308" t="s">
        <v>410</v>
      </c>
      <c r="B308" t="s">
        <v>1689</v>
      </c>
      <c r="C308" t="s">
        <v>1663</v>
      </c>
      <c r="D308" t="s">
        <v>1672</v>
      </c>
      <c r="K308"/>
    </row>
    <row r="309" spans="1:11">
      <c r="A309" t="s">
        <v>415</v>
      </c>
      <c r="B309" t="s">
        <v>1689</v>
      </c>
      <c r="C309" t="s">
        <v>1664</v>
      </c>
      <c r="D309" t="s">
        <v>1670</v>
      </c>
      <c r="K309"/>
    </row>
    <row r="310" spans="1:11">
      <c r="A310" t="s">
        <v>433</v>
      </c>
      <c r="B310" t="s">
        <v>1689</v>
      </c>
      <c r="C310" t="s">
        <v>1661</v>
      </c>
      <c r="D310" t="s">
        <v>1670</v>
      </c>
      <c r="K310"/>
    </row>
    <row r="311" spans="1:11">
      <c r="A311" t="s">
        <v>440</v>
      </c>
      <c r="B311" t="s">
        <v>1689</v>
      </c>
      <c r="C311" t="s">
        <v>1661</v>
      </c>
      <c r="D311" t="s">
        <v>1670</v>
      </c>
      <c r="K311"/>
    </row>
    <row r="312" spans="1:11">
      <c r="A312" t="s">
        <v>431</v>
      </c>
      <c r="B312" t="s">
        <v>1689</v>
      </c>
      <c r="C312" t="s">
        <v>1662</v>
      </c>
      <c r="D312" t="s">
        <v>1670</v>
      </c>
      <c r="K312"/>
    </row>
    <row r="313" spans="1:11">
      <c r="A313" t="s">
        <v>643</v>
      </c>
      <c r="B313" t="s">
        <v>1690</v>
      </c>
      <c r="C313" t="s">
        <v>1665</v>
      </c>
      <c r="D313" t="s">
        <v>1674</v>
      </c>
      <c r="K313"/>
    </row>
    <row r="314" spans="1:11">
      <c r="A314" t="s">
        <v>527</v>
      </c>
      <c r="B314" t="s">
        <v>1689</v>
      </c>
      <c r="C314" t="s">
        <v>1665</v>
      </c>
      <c r="D314" t="s">
        <v>1670</v>
      </c>
      <c r="K314"/>
    </row>
    <row r="315" spans="1:11">
      <c r="A315" t="s">
        <v>636</v>
      </c>
      <c r="B315" t="s">
        <v>1689</v>
      </c>
      <c r="C315" t="s">
        <v>1665</v>
      </c>
      <c r="D315" t="s">
        <v>1670</v>
      </c>
      <c r="K315"/>
    </row>
    <row r="316" spans="1:11">
      <c r="A316" t="s">
        <v>635</v>
      </c>
      <c r="B316" t="s">
        <v>1689</v>
      </c>
      <c r="C316" t="s">
        <v>1665</v>
      </c>
      <c r="D316" t="s">
        <v>1670</v>
      </c>
      <c r="K316"/>
    </row>
    <row r="317" spans="1:11">
      <c r="A317" t="s">
        <v>637</v>
      </c>
      <c r="B317" t="s">
        <v>1689</v>
      </c>
      <c r="C317" t="s">
        <v>1665</v>
      </c>
      <c r="D317" t="s">
        <v>1670</v>
      </c>
      <c r="K317"/>
    </row>
    <row r="318" spans="1:11">
      <c r="A318" t="s">
        <v>546</v>
      </c>
      <c r="B318" t="s">
        <v>1689</v>
      </c>
      <c r="C318" t="s">
        <v>1665</v>
      </c>
      <c r="D318" t="s">
        <v>1670</v>
      </c>
      <c r="K318"/>
    </row>
    <row r="319" spans="1:11">
      <c r="A319" t="s">
        <v>547</v>
      </c>
      <c r="B319" t="s">
        <v>1689</v>
      </c>
      <c r="C319" t="s">
        <v>1665</v>
      </c>
      <c r="D319" t="s">
        <v>1670</v>
      </c>
      <c r="K319"/>
    </row>
    <row r="320" spans="1:11">
      <c r="A320" t="s">
        <v>548</v>
      </c>
      <c r="B320" t="s">
        <v>1689</v>
      </c>
      <c r="C320" t="s">
        <v>1665</v>
      </c>
      <c r="D320" t="s">
        <v>1670</v>
      </c>
      <c r="K320"/>
    </row>
    <row r="321" spans="1:11">
      <c r="A321" t="s">
        <v>558</v>
      </c>
      <c r="B321" t="s">
        <v>1689</v>
      </c>
      <c r="C321" t="s">
        <v>1665</v>
      </c>
      <c r="D321" t="s">
        <v>1670</v>
      </c>
      <c r="K321"/>
    </row>
    <row r="322" spans="1:11">
      <c r="A322" t="s">
        <v>641</v>
      </c>
      <c r="B322" t="s">
        <v>1689</v>
      </c>
      <c r="C322" t="s">
        <v>1665</v>
      </c>
      <c r="D322" t="s">
        <v>1670</v>
      </c>
      <c r="K322"/>
    </row>
    <row r="323" spans="1:11">
      <c r="A323" t="s">
        <v>640</v>
      </c>
      <c r="B323" t="s">
        <v>1689</v>
      </c>
      <c r="C323" t="s">
        <v>1665</v>
      </c>
      <c r="D323" t="s">
        <v>1670</v>
      </c>
      <c r="K323"/>
    </row>
    <row r="324" spans="1:11">
      <c r="A324" t="s">
        <v>571</v>
      </c>
      <c r="B324" t="s">
        <v>1690</v>
      </c>
      <c r="C324" t="s">
        <v>1665</v>
      </c>
      <c r="D324" t="s">
        <v>1674</v>
      </c>
      <c r="K324"/>
    </row>
    <row r="325" spans="1:11">
      <c r="A325" t="s">
        <v>662</v>
      </c>
      <c r="B325" t="s">
        <v>1689</v>
      </c>
      <c r="C325" t="s">
        <v>1665</v>
      </c>
      <c r="D325" t="s">
        <v>1670</v>
      </c>
      <c r="K325"/>
    </row>
    <row r="326" spans="1:11">
      <c r="A326" t="s">
        <v>582</v>
      </c>
      <c r="B326" t="s">
        <v>1689</v>
      </c>
      <c r="C326" t="s">
        <v>1665</v>
      </c>
      <c r="D326" t="s">
        <v>1670</v>
      </c>
      <c r="K326"/>
    </row>
    <row r="327" spans="1:11">
      <c r="A327" t="s">
        <v>528</v>
      </c>
      <c r="B327" t="s">
        <v>1690</v>
      </c>
      <c r="C327" t="s">
        <v>1665</v>
      </c>
      <c r="D327" t="s">
        <v>1674</v>
      </c>
      <c r="K327"/>
    </row>
    <row r="328" spans="1:11">
      <c r="A328" t="s">
        <v>529</v>
      </c>
      <c r="B328" t="s">
        <v>1690</v>
      </c>
      <c r="C328" t="s">
        <v>1665</v>
      </c>
      <c r="D328" t="s">
        <v>1674</v>
      </c>
      <c r="K328"/>
    </row>
    <row r="329" spans="1:11">
      <c r="A329" t="s">
        <v>562</v>
      </c>
      <c r="B329" t="s">
        <v>1689</v>
      </c>
      <c r="C329" t="s">
        <v>1665</v>
      </c>
      <c r="D329" t="s">
        <v>1675</v>
      </c>
      <c r="K329"/>
    </row>
    <row r="330" spans="1:11">
      <c r="A330" t="s">
        <v>559</v>
      </c>
      <c r="B330" t="s">
        <v>1689</v>
      </c>
      <c r="C330" t="s">
        <v>1665</v>
      </c>
      <c r="D330" t="s">
        <v>1670</v>
      </c>
      <c r="K330"/>
    </row>
    <row r="331" spans="1:11">
      <c r="A331" t="s">
        <v>560</v>
      </c>
      <c r="B331" t="s">
        <v>1689</v>
      </c>
      <c r="C331" t="s">
        <v>1665</v>
      </c>
      <c r="D331" t="s">
        <v>1670</v>
      </c>
      <c r="K331"/>
    </row>
    <row r="332" spans="1:11">
      <c r="A332" t="s">
        <v>580</v>
      </c>
      <c r="B332" t="s">
        <v>1689</v>
      </c>
      <c r="C332" t="s">
        <v>1665</v>
      </c>
      <c r="D332" t="s">
        <v>1670</v>
      </c>
      <c r="K332"/>
    </row>
    <row r="333" spans="1:11">
      <c r="A333" t="s">
        <v>579</v>
      </c>
      <c r="B333" t="s">
        <v>1690</v>
      </c>
      <c r="C333" t="s">
        <v>1665</v>
      </c>
      <c r="D333" t="s">
        <v>1673</v>
      </c>
      <c r="K333"/>
    </row>
    <row r="334" spans="1:11">
      <c r="A334" t="s">
        <v>581</v>
      </c>
      <c r="B334" t="s">
        <v>1690</v>
      </c>
      <c r="C334" t="s">
        <v>1665</v>
      </c>
      <c r="D334" t="s">
        <v>1673</v>
      </c>
      <c r="K334"/>
    </row>
    <row r="335" spans="1:11">
      <c r="A335" t="s">
        <v>557</v>
      </c>
      <c r="B335" t="s">
        <v>1690</v>
      </c>
      <c r="C335" t="s">
        <v>1665</v>
      </c>
      <c r="D335" t="s">
        <v>1674</v>
      </c>
      <c r="K335"/>
    </row>
    <row r="336" spans="1:11">
      <c r="A336" t="s">
        <v>549</v>
      </c>
      <c r="B336" t="s">
        <v>1690</v>
      </c>
      <c r="C336" t="s">
        <v>1665</v>
      </c>
      <c r="D336" t="s">
        <v>1674</v>
      </c>
      <c r="K336"/>
    </row>
    <row r="337" spans="1:11">
      <c r="A337" t="s">
        <v>561</v>
      </c>
      <c r="B337" t="s">
        <v>1689</v>
      </c>
      <c r="C337" t="s">
        <v>1665</v>
      </c>
      <c r="D337" t="s">
        <v>1670</v>
      </c>
      <c r="K337"/>
    </row>
    <row r="338" spans="1:11">
      <c r="A338" t="s">
        <v>530</v>
      </c>
      <c r="B338" t="s">
        <v>1689</v>
      </c>
      <c r="C338" t="s">
        <v>1665</v>
      </c>
      <c r="D338" t="s">
        <v>1670</v>
      </c>
      <c r="K338"/>
    </row>
    <row r="339" spans="1:11">
      <c r="A339" t="s">
        <v>545</v>
      </c>
      <c r="B339" t="s">
        <v>1689</v>
      </c>
      <c r="C339" t="s">
        <v>1665</v>
      </c>
      <c r="D339" t="s">
        <v>1670</v>
      </c>
      <c r="K339"/>
    </row>
    <row r="340" spans="1:11">
      <c r="A340" t="s">
        <v>542</v>
      </c>
      <c r="B340" t="s">
        <v>1689</v>
      </c>
      <c r="C340" t="s">
        <v>1665</v>
      </c>
      <c r="D340" t="s">
        <v>1670</v>
      </c>
      <c r="K340"/>
    </row>
    <row r="341" spans="1:11">
      <c r="A341" t="s">
        <v>539</v>
      </c>
      <c r="B341" t="s">
        <v>1689</v>
      </c>
      <c r="C341" t="s">
        <v>1665</v>
      </c>
      <c r="D341" t="s">
        <v>1670</v>
      </c>
      <c r="K341"/>
    </row>
    <row r="342" spans="1:11">
      <c r="A342" t="s">
        <v>540</v>
      </c>
      <c r="B342" t="s">
        <v>1690</v>
      </c>
      <c r="C342" t="s">
        <v>1665</v>
      </c>
      <c r="D342" t="s">
        <v>1674</v>
      </c>
      <c r="K342"/>
    </row>
    <row r="343" spans="1:11">
      <c r="A343" t="s">
        <v>541</v>
      </c>
      <c r="B343" t="s">
        <v>1689</v>
      </c>
      <c r="C343" t="s">
        <v>1665</v>
      </c>
      <c r="D343" t="s">
        <v>1670</v>
      </c>
      <c r="K343"/>
    </row>
    <row r="344" spans="1:11">
      <c r="A344" t="s">
        <v>573</v>
      </c>
      <c r="B344" t="s">
        <v>1690</v>
      </c>
      <c r="C344" t="s">
        <v>1665</v>
      </c>
      <c r="D344" t="s">
        <v>1673</v>
      </c>
      <c r="K344"/>
    </row>
    <row r="345" spans="1:11">
      <c r="A345" t="s">
        <v>574</v>
      </c>
      <c r="B345" t="s">
        <v>1690</v>
      </c>
      <c r="C345" t="s">
        <v>1665</v>
      </c>
      <c r="D345" t="s">
        <v>1673</v>
      </c>
      <c r="K345"/>
    </row>
    <row r="346" spans="1:11">
      <c r="A346" t="s">
        <v>563</v>
      </c>
      <c r="B346" t="s">
        <v>1690</v>
      </c>
      <c r="C346" t="s">
        <v>1665</v>
      </c>
      <c r="D346" t="s">
        <v>1674</v>
      </c>
      <c r="K346"/>
    </row>
    <row r="347" spans="1:11">
      <c r="A347" t="s">
        <v>564</v>
      </c>
      <c r="B347" t="s">
        <v>1690</v>
      </c>
      <c r="C347" t="s">
        <v>1665</v>
      </c>
      <c r="D347" t="s">
        <v>1674</v>
      </c>
      <c r="K347"/>
    </row>
    <row r="348" spans="1:11">
      <c r="A348" t="s">
        <v>565</v>
      </c>
      <c r="B348" t="s">
        <v>1690</v>
      </c>
      <c r="C348" t="s">
        <v>1665</v>
      </c>
      <c r="D348" t="s">
        <v>1674</v>
      </c>
      <c r="K348"/>
    </row>
    <row r="349" spans="1:11">
      <c r="A349" t="s">
        <v>634</v>
      </c>
      <c r="B349" t="s">
        <v>1690</v>
      </c>
      <c r="C349" t="s">
        <v>1665</v>
      </c>
      <c r="D349" t="s">
        <v>1674</v>
      </c>
      <c r="K349"/>
    </row>
    <row r="350" spans="1:11">
      <c r="A350" t="s">
        <v>633</v>
      </c>
      <c r="B350" t="s">
        <v>1690</v>
      </c>
      <c r="C350" t="s">
        <v>1665</v>
      </c>
      <c r="D350" t="s">
        <v>1674</v>
      </c>
      <c r="K350"/>
    </row>
    <row r="351" spans="1:11">
      <c r="A351" t="s">
        <v>566</v>
      </c>
      <c r="B351" t="s">
        <v>1689</v>
      </c>
      <c r="C351" t="s">
        <v>1665</v>
      </c>
      <c r="D351" t="s">
        <v>1670</v>
      </c>
      <c r="K351"/>
    </row>
    <row r="352" spans="1:11">
      <c r="A352" t="s">
        <v>567</v>
      </c>
      <c r="B352" t="s">
        <v>1689</v>
      </c>
      <c r="C352" t="s">
        <v>1665</v>
      </c>
      <c r="D352" t="s">
        <v>1670</v>
      </c>
      <c r="K352"/>
    </row>
    <row r="353" spans="1:11">
      <c r="A353" t="s">
        <v>543</v>
      </c>
      <c r="B353" t="s">
        <v>1689</v>
      </c>
      <c r="C353" t="s">
        <v>1665</v>
      </c>
      <c r="D353" t="s">
        <v>1670</v>
      </c>
      <c r="K353"/>
    </row>
    <row r="354" spans="1:11">
      <c r="A354" t="s">
        <v>576</v>
      </c>
      <c r="B354" t="s">
        <v>1690</v>
      </c>
      <c r="C354" t="s">
        <v>1665</v>
      </c>
      <c r="D354" t="s">
        <v>1673</v>
      </c>
      <c r="K354"/>
    </row>
    <row r="355" spans="1:11">
      <c r="A355" t="s">
        <v>536</v>
      </c>
      <c r="B355" t="s">
        <v>1689</v>
      </c>
      <c r="C355" t="s">
        <v>1665</v>
      </c>
      <c r="D355" t="s">
        <v>1670</v>
      </c>
      <c r="K355"/>
    </row>
    <row r="356" spans="1:11">
      <c r="A356" t="s">
        <v>575</v>
      </c>
      <c r="B356" t="s">
        <v>1689</v>
      </c>
      <c r="C356" t="s">
        <v>1665</v>
      </c>
      <c r="D356" t="s">
        <v>1675</v>
      </c>
      <c r="K356"/>
    </row>
    <row r="357" spans="1:11">
      <c r="A357" t="s">
        <v>535</v>
      </c>
      <c r="B357" t="s">
        <v>1689</v>
      </c>
      <c r="C357" t="s">
        <v>1665</v>
      </c>
      <c r="D357" t="s">
        <v>1670</v>
      </c>
      <c r="K357"/>
    </row>
    <row r="358" spans="1:11">
      <c r="A358" t="s">
        <v>531</v>
      </c>
      <c r="B358" t="s">
        <v>1689</v>
      </c>
      <c r="C358" t="s">
        <v>1665</v>
      </c>
      <c r="D358" t="s">
        <v>1670</v>
      </c>
      <c r="K358"/>
    </row>
    <row r="359" spans="1:11">
      <c r="A359" t="s">
        <v>532</v>
      </c>
      <c r="B359" t="s">
        <v>1689</v>
      </c>
      <c r="C359" t="s">
        <v>1665</v>
      </c>
      <c r="D359" t="s">
        <v>1670</v>
      </c>
      <c r="K359"/>
    </row>
    <row r="360" spans="1:11">
      <c r="A360" t="s">
        <v>533</v>
      </c>
      <c r="B360" t="s">
        <v>1689</v>
      </c>
      <c r="C360" t="s">
        <v>1665</v>
      </c>
      <c r="D360" t="s">
        <v>1670</v>
      </c>
      <c r="K360"/>
    </row>
    <row r="361" spans="1:11">
      <c r="A361" t="s">
        <v>537</v>
      </c>
      <c r="B361" t="s">
        <v>1689</v>
      </c>
      <c r="C361" t="s">
        <v>1665</v>
      </c>
      <c r="D361" t="s">
        <v>1670</v>
      </c>
      <c r="K361"/>
    </row>
    <row r="362" spans="1:11">
      <c r="A362" t="s">
        <v>534</v>
      </c>
      <c r="B362" t="s">
        <v>1689</v>
      </c>
      <c r="C362" t="s">
        <v>1665</v>
      </c>
      <c r="D362" t="s">
        <v>1670</v>
      </c>
      <c r="K362"/>
    </row>
    <row r="363" spans="1:11">
      <c r="A363" t="s">
        <v>638</v>
      </c>
      <c r="B363" t="s">
        <v>1689</v>
      </c>
      <c r="C363" t="s">
        <v>1665</v>
      </c>
      <c r="D363" t="s">
        <v>1670</v>
      </c>
      <c r="K363"/>
    </row>
    <row r="364" spans="1:11">
      <c r="A364" t="s">
        <v>551</v>
      </c>
      <c r="B364" t="s">
        <v>1689</v>
      </c>
      <c r="C364" t="s">
        <v>1665</v>
      </c>
      <c r="D364" t="s">
        <v>1670</v>
      </c>
      <c r="K364"/>
    </row>
    <row r="365" spans="1:11">
      <c r="A365" t="s">
        <v>550</v>
      </c>
      <c r="B365" t="s">
        <v>1690</v>
      </c>
      <c r="C365" t="s">
        <v>1665</v>
      </c>
      <c r="D365" t="s">
        <v>1674</v>
      </c>
      <c r="K365"/>
    </row>
    <row r="366" spans="1:11">
      <c r="A366" t="s">
        <v>544</v>
      </c>
      <c r="B366" t="s">
        <v>1690</v>
      </c>
      <c r="C366" t="s">
        <v>1665</v>
      </c>
      <c r="D366" t="s">
        <v>1674</v>
      </c>
      <c r="K366"/>
    </row>
    <row r="367" spans="1:11">
      <c r="A367" t="s">
        <v>538</v>
      </c>
      <c r="B367" t="s">
        <v>1689</v>
      </c>
      <c r="C367" t="s">
        <v>1665</v>
      </c>
      <c r="D367" t="s">
        <v>1670</v>
      </c>
      <c r="K367"/>
    </row>
    <row r="368" spans="1:11">
      <c r="A368" t="s">
        <v>568</v>
      </c>
      <c r="B368" t="s">
        <v>1689</v>
      </c>
      <c r="C368" t="s">
        <v>1665</v>
      </c>
      <c r="D368" t="s">
        <v>1670</v>
      </c>
      <c r="K368"/>
    </row>
    <row r="369" spans="1:11">
      <c r="A369" t="s">
        <v>660</v>
      </c>
      <c r="B369" t="s">
        <v>1690</v>
      </c>
      <c r="C369" t="s">
        <v>1665</v>
      </c>
      <c r="D369" t="s">
        <v>1674</v>
      </c>
      <c r="K369"/>
    </row>
    <row r="370" spans="1:11">
      <c r="A370" t="s">
        <v>663</v>
      </c>
      <c r="B370" t="s">
        <v>1690</v>
      </c>
      <c r="C370" t="s">
        <v>1665</v>
      </c>
      <c r="D370" t="s">
        <v>1674</v>
      </c>
      <c r="K370"/>
    </row>
    <row r="371" spans="1:11">
      <c r="A371" t="s">
        <v>661</v>
      </c>
      <c r="B371" t="s">
        <v>1689</v>
      </c>
      <c r="C371" t="s">
        <v>1665</v>
      </c>
      <c r="D371" t="s">
        <v>1675</v>
      </c>
      <c r="K371"/>
    </row>
    <row r="372" spans="1:11">
      <c r="A372" t="s">
        <v>569</v>
      </c>
      <c r="B372" t="s">
        <v>1689</v>
      </c>
      <c r="C372" t="s">
        <v>1665</v>
      </c>
      <c r="D372" t="s">
        <v>1670</v>
      </c>
      <c r="K372"/>
    </row>
    <row r="373" spans="1:11">
      <c r="A373" t="s">
        <v>639</v>
      </c>
      <c r="B373" t="s">
        <v>1689</v>
      </c>
      <c r="C373" t="s">
        <v>1665</v>
      </c>
      <c r="D373" t="s">
        <v>1670</v>
      </c>
      <c r="K373"/>
    </row>
    <row r="374" spans="1:11">
      <c r="A374" t="s">
        <v>583</v>
      </c>
      <c r="B374" t="s">
        <v>1689</v>
      </c>
      <c r="C374" t="s">
        <v>1665</v>
      </c>
      <c r="D374" t="s">
        <v>1670</v>
      </c>
      <c r="K374"/>
    </row>
    <row r="375" spans="1:11">
      <c r="A375" t="s">
        <v>552</v>
      </c>
      <c r="B375" t="s">
        <v>1689</v>
      </c>
      <c r="C375" t="s">
        <v>1665</v>
      </c>
      <c r="D375" t="s">
        <v>1670</v>
      </c>
      <c r="K375"/>
    </row>
    <row r="376" spans="1:11">
      <c r="A376" t="s">
        <v>553</v>
      </c>
      <c r="B376" t="s">
        <v>1690</v>
      </c>
      <c r="C376" t="s">
        <v>1665</v>
      </c>
      <c r="D376" t="s">
        <v>1674</v>
      </c>
      <c r="K376"/>
    </row>
    <row r="377" spans="1:11">
      <c r="A377" t="s">
        <v>555</v>
      </c>
      <c r="B377" t="s">
        <v>1689</v>
      </c>
      <c r="C377" t="s">
        <v>1665</v>
      </c>
      <c r="D377" t="s">
        <v>1670</v>
      </c>
      <c r="K377"/>
    </row>
    <row r="378" spans="1:11">
      <c r="A378" t="s">
        <v>577</v>
      </c>
      <c r="B378" t="s">
        <v>1690</v>
      </c>
      <c r="C378" t="s">
        <v>1665</v>
      </c>
      <c r="D378" t="s">
        <v>1674</v>
      </c>
      <c r="K378"/>
    </row>
    <row r="379" spans="1:11">
      <c r="A379" t="s">
        <v>554</v>
      </c>
      <c r="B379" t="s">
        <v>1689</v>
      </c>
      <c r="C379" t="s">
        <v>1665</v>
      </c>
      <c r="D379" t="s">
        <v>1670</v>
      </c>
      <c r="K379"/>
    </row>
    <row r="380" spans="1:11">
      <c r="A380" t="s">
        <v>642</v>
      </c>
      <c r="B380" t="s">
        <v>1690</v>
      </c>
      <c r="C380" t="s">
        <v>1665</v>
      </c>
      <c r="D380" t="s">
        <v>1674</v>
      </c>
      <c r="K380"/>
    </row>
    <row r="381" spans="1:11">
      <c r="A381" t="s">
        <v>570</v>
      </c>
      <c r="B381" t="s">
        <v>1689</v>
      </c>
      <c r="C381" t="s">
        <v>1665</v>
      </c>
      <c r="D381" t="s">
        <v>1670</v>
      </c>
      <c r="K381"/>
    </row>
    <row r="382" spans="1:11">
      <c r="A382" t="s">
        <v>584</v>
      </c>
      <c r="B382" t="s">
        <v>1689</v>
      </c>
      <c r="C382" t="s">
        <v>1665</v>
      </c>
      <c r="D382" t="s">
        <v>1670</v>
      </c>
      <c r="K382"/>
    </row>
    <row r="383" spans="1:11">
      <c r="A383" t="s">
        <v>556</v>
      </c>
      <c r="B383" t="s">
        <v>1689</v>
      </c>
      <c r="C383" t="s">
        <v>1665</v>
      </c>
      <c r="D383" t="s">
        <v>1670</v>
      </c>
      <c r="K383"/>
    </row>
    <row r="384" spans="1:11">
      <c r="A384" t="s">
        <v>578</v>
      </c>
      <c r="B384" t="s">
        <v>1689</v>
      </c>
      <c r="C384" t="s">
        <v>1665</v>
      </c>
      <c r="D384" t="s">
        <v>1670</v>
      </c>
      <c r="K384"/>
    </row>
    <row r="385" spans="1:11">
      <c r="A385" t="s">
        <v>572</v>
      </c>
      <c r="B385" t="s">
        <v>1689</v>
      </c>
      <c r="C385" t="s">
        <v>1665</v>
      </c>
      <c r="D385" t="s">
        <v>1670</v>
      </c>
      <c r="K385"/>
    </row>
    <row r="386" spans="1:11">
      <c r="A386" t="s">
        <v>3310</v>
      </c>
      <c r="B386" t="s">
        <v>1688</v>
      </c>
      <c r="C386" t="s">
        <v>1665</v>
      </c>
      <c r="D386" t="s">
        <v>1670</v>
      </c>
      <c r="K386"/>
    </row>
    <row r="387" spans="1:11">
      <c r="A387" t="s">
        <v>590</v>
      </c>
      <c r="B387" t="s">
        <v>1688</v>
      </c>
      <c r="C387" t="s">
        <v>1661</v>
      </c>
      <c r="D387" t="s">
        <v>1670</v>
      </c>
      <c r="K387"/>
    </row>
    <row r="388" spans="1:11">
      <c r="A388" t="s">
        <v>3311</v>
      </c>
      <c r="B388" t="s">
        <v>1688</v>
      </c>
      <c r="C388" t="s">
        <v>1665</v>
      </c>
      <c r="D388" t="s">
        <v>1670</v>
      </c>
      <c r="K388"/>
    </row>
    <row r="389" spans="1:11">
      <c r="A389" t="s">
        <v>709</v>
      </c>
      <c r="B389" t="s">
        <v>1688</v>
      </c>
      <c r="C389" t="s">
        <v>1661</v>
      </c>
      <c r="D389" t="s">
        <v>1675</v>
      </c>
      <c r="K389"/>
    </row>
    <row r="390" spans="1:11">
      <c r="A390" t="s">
        <v>710</v>
      </c>
      <c r="B390" t="s">
        <v>1688</v>
      </c>
      <c r="C390" t="s">
        <v>1661</v>
      </c>
      <c r="D390" t="s">
        <v>1675</v>
      </c>
      <c r="K390"/>
    </row>
    <row r="391" spans="1:11">
      <c r="A391" t="s">
        <v>866</v>
      </c>
      <c r="B391" t="s">
        <v>1688</v>
      </c>
      <c r="C391" t="s">
        <v>1667</v>
      </c>
      <c r="D391" t="s">
        <v>1672</v>
      </c>
      <c r="K391"/>
    </row>
    <row r="392" spans="1:11">
      <c r="A392" t="s">
        <v>850</v>
      </c>
      <c r="B392" t="s">
        <v>1688</v>
      </c>
      <c r="C392" t="s">
        <v>1667</v>
      </c>
      <c r="D392" t="s">
        <v>1674</v>
      </c>
      <c r="K392"/>
    </row>
    <row r="393" spans="1:11">
      <c r="A393" t="s">
        <v>851</v>
      </c>
      <c r="B393" t="s">
        <v>1688</v>
      </c>
      <c r="C393" t="s">
        <v>1667</v>
      </c>
      <c r="D393" t="s">
        <v>1671</v>
      </c>
      <c r="K393"/>
    </row>
    <row r="394" spans="1:11">
      <c r="A394" t="s">
        <v>852</v>
      </c>
      <c r="B394" t="s">
        <v>1688</v>
      </c>
      <c r="C394" t="s">
        <v>1667</v>
      </c>
      <c r="D394" t="s">
        <v>1673</v>
      </c>
      <c r="K394"/>
    </row>
    <row r="395" spans="1:11">
      <c r="A395" t="s">
        <v>853</v>
      </c>
      <c r="B395" t="s">
        <v>1688</v>
      </c>
      <c r="C395" t="s">
        <v>1667</v>
      </c>
      <c r="D395" t="s">
        <v>1675</v>
      </c>
      <c r="K395"/>
    </row>
    <row r="396" spans="1:11">
      <c r="A396" t="s">
        <v>854</v>
      </c>
      <c r="B396" t="s">
        <v>1688</v>
      </c>
      <c r="C396" t="s">
        <v>1667</v>
      </c>
      <c r="D396" t="s">
        <v>1676</v>
      </c>
      <c r="K396"/>
    </row>
    <row r="397" spans="1:11">
      <c r="A397" t="s">
        <v>855</v>
      </c>
      <c r="B397" t="s">
        <v>1688</v>
      </c>
      <c r="C397" t="s">
        <v>1667</v>
      </c>
      <c r="D397" t="s">
        <v>1678</v>
      </c>
      <c r="K397"/>
    </row>
    <row r="398" spans="1:11">
      <c r="A398" t="s">
        <v>856</v>
      </c>
      <c r="B398" t="s">
        <v>1688</v>
      </c>
      <c r="C398" t="s">
        <v>1667</v>
      </c>
      <c r="D398" t="s">
        <v>1683</v>
      </c>
      <c r="K398"/>
    </row>
    <row r="399" spans="1:11">
      <c r="A399" t="s">
        <v>857</v>
      </c>
      <c r="B399" t="s">
        <v>1688</v>
      </c>
      <c r="C399" t="s">
        <v>1667</v>
      </c>
      <c r="D399" t="s">
        <v>1684</v>
      </c>
      <c r="K399"/>
    </row>
    <row r="400" spans="1:11">
      <c r="A400" t="s">
        <v>858</v>
      </c>
      <c r="B400" t="s">
        <v>1688</v>
      </c>
      <c r="C400" t="s">
        <v>1667</v>
      </c>
      <c r="D400" t="s">
        <v>1677</v>
      </c>
      <c r="K400"/>
    </row>
    <row r="401" spans="1:11">
      <c r="A401" t="s">
        <v>859</v>
      </c>
      <c r="B401" t="s">
        <v>1688</v>
      </c>
      <c r="C401" t="s">
        <v>1667</v>
      </c>
      <c r="D401" t="s">
        <v>1677</v>
      </c>
      <c r="K401"/>
    </row>
    <row r="402" spans="1:11">
      <c r="A402" t="s">
        <v>860</v>
      </c>
      <c r="B402" t="s">
        <v>1688</v>
      </c>
      <c r="C402" t="s">
        <v>1667</v>
      </c>
      <c r="D402" t="s">
        <v>1671</v>
      </c>
      <c r="K402"/>
    </row>
    <row r="403" spans="1:11">
      <c r="A403" t="s">
        <v>861</v>
      </c>
      <c r="B403" t="s">
        <v>1688</v>
      </c>
      <c r="C403" t="s">
        <v>1667</v>
      </c>
      <c r="D403" t="s">
        <v>1671</v>
      </c>
      <c r="K403"/>
    </row>
    <row r="404" spans="1:11">
      <c r="A404" t="s">
        <v>862</v>
      </c>
      <c r="B404" t="s">
        <v>1688</v>
      </c>
      <c r="C404" t="s">
        <v>1666</v>
      </c>
      <c r="D404" t="s">
        <v>1670</v>
      </c>
      <c r="K404"/>
    </row>
    <row r="405" spans="1:11">
      <c r="A405" t="s">
        <v>863</v>
      </c>
      <c r="B405" t="s">
        <v>1688</v>
      </c>
      <c r="C405" t="s">
        <v>1667</v>
      </c>
      <c r="D405" t="s">
        <v>1679</v>
      </c>
      <c r="K405"/>
    </row>
    <row r="406" spans="1:11">
      <c r="A406" t="s">
        <v>368</v>
      </c>
      <c r="B406" t="s">
        <v>1688</v>
      </c>
      <c r="C406" t="s">
        <v>1665</v>
      </c>
      <c r="D406" t="s">
        <v>1672</v>
      </c>
      <c r="K406"/>
    </row>
    <row r="407" spans="1:11">
      <c r="A407" t="s">
        <v>362</v>
      </c>
      <c r="B407" t="s">
        <v>1688</v>
      </c>
      <c r="C407" t="s">
        <v>1665</v>
      </c>
      <c r="D407" t="s">
        <v>1672</v>
      </c>
      <c r="K407"/>
    </row>
    <row r="408" spans="1:11">
      <c r="A408" t="s">
        <v>319</v>
      </c>
      <c r="B408" t="s">
        <v>1688</v>
      </c>
      <c r="C408" t="s">
        <v>1665</v>
      </c>
      <c r="D408" t="s">
        <v>1672</v>
      </c>
      <c r="K408"/>
    </row>
    <row r="409" spans="1:11">
      <c r="A409" t="s">
        <v>365</v>
      </c>
      <c r="B409" t="s">
        <v>1688</v>
      </c>
      <c r="C409" t="s">
        <v>1665</v>
      </c>
      <c r="D409" t="s">
        <v>1672</v>
      </c>
      <c r="K409"/>
    </row>
    <row r="410" spans="1:11">
      <c r="A410" t="s">
        <v>335</v>
      </c>
      <c r="B410" t="s">
        <v>1688</v>
      </c>
      <c r="C410" t="s">
        <v>1665</v>
      </c>
      <c r="D410" t="s">
        <v>1672</v>
      </c>
      <c r="K410"/>
    </row>
    <row r="411" spans="1:11">
      <c r="A411" t="s">
        <v>328</v>
      </c>
      <c r="B411" t="s">
        <v>1688</v>
      </c>
      <c r="C411" t="s">
        <v>1665</v>
      </c>
      <c r="D411" t="s">
        <v>1672</v>
      </c>
      <c r="K411"/>
    </row>
    <row r="412" spans="1:11">
      <c r="A412" t="s">
        <v>364</v>
      </c>
      <c r="B412" t="s">
        <v>1688</v>
      </c>
      <c r="C412" t="s">
        <v>1665</v>
      </c>
      <c r="D412" t="s">
        <v>1672</v>
      </c>
      <c r="K412"/>
    </row>
    <row r="413" spans="1:11">
      <c r="A413" t="s">
        <v>363</v>
      </c>
      <c r="B413" t="s">
        <v>1688</v>
      </c>
      <c r="C413" t="s">
        <v>1665</v>
      </c>
      <c r="D413" t="s">
        <v>1672</v>
      </c>
      <c r="K413"/>
    </row>
    <row r="414" spans="1:11">
      <c r="A414" t="s">
        <v>361</v>
      </c>
      <c r="B414" t="s">
        <v>1688</v>
      </c>
      <c r="C414" t="s">
        <v>1665</v>
      </c>
      <c r="D414" t="s">
        <v>1672</v>
      </c>
      <c r="K414"/>
    </row>
    <row r="415" spans="1:11">
      <c r="A415" t="s">
        <v>338</v>
      </c>
      <c r="B415" t="s">
        <v>1688</v>
      </c>
      <c r="C415" t="s">
        <v>1665</v>
      </c>
      <c r="D415" t="s">
        <v>1672</v>
      </c>
      <c r="K415"/>
    </row>
    <row r="416" spans="1:11">
      <c r="A416" t="s">
        <v>334</v>
      </c>
      <c r="B416" t="s">
        <v>1688</v>
      </c>
      <c r="C416" t="s">
        <v>1665</v>
      </c>
      <c r="D416" t="s">
        <v>1672</v>
      </c>
      <c r="K416"/>
    </row>
    <row r="417" spans="1:11">
      <c r="A417" t="s">
        <v>324</v>
      </c>
      <c r="B417" t="s">
        <v>1688</v>
      </c>
      <c r="C417" t="s">
        <v>1665</v>
      </c>
      <c r="D417" t="s">
        <v>1672</v>
      </c>
      <c r="K417"/>
    </row>
    <row r="418" spans="1:11">
      <c r="A418" t="s">
        <v>345</v>
      </c>
      <c r="B418" t="s">
        <v>1688</v>
      </c>
      <c r="C418" t="s">
        <v>1665</v>
      </c>
      <c r="D418" t="s">
        <v>1672</v>
      </c>
      <c r="K418"/>
    </row>
    <row r="419" spans="1:11">
      <c r="A419" t="s">
        <v>353</v>
      </c>
      <c r="B419" t="s">
        <v>1688</v>
      </c>
      <c r="C419" t="s">
        <v>1665</v>
      </c>
      <c r="D419" t="s">
        <v>1672</v>
      </c>
      <c r="K419"/>
    </row>
    <row r="420" spans="1:11">
      <c r="A420" t="s">
        <v>369</v>
      </c>
      <c r="B420" t="s">
        <v>1688</v>
      </c>
      <c r="C420" t="s">
        <v>1665</v>
      </c>
      <c r="D420" t="s">
        <v>1672</v>
      </c>
      <c r="K420"/>
    </row>
    <row r="421" spans="1:11">
      <c r="A421" t="s">
        <v>323</v>
      </c>
      <c r="B421" t="s">
        <v>1688</v>
      </c>
      <c r="C421" t="s">
        <v>1665</v>
      </c>
      <c r="D421" t="s">
        <v>1672</v>
      </c>
      <c r="K421"/>
    </row>
    <row r="422" spans="1:11">
      <c r="A422" t="s">
        <v>329</v>
      </c>
      <c r="B422" t="s">
        <v>1688</v>
      </c>
      <c r="C422" t="s">
        <v>1665</v>
      </c>
      <c r="D422" t="s">
        <v>1672</v>
      </c>
      <c r="K422"/>
    </row>
    <row r="423" spans="1:11">
      <c r="A423" t="s">
        <v>352</v>
      </c>
      <c r="B423" t="s">
        <v>1688</v>
      </c>
      <c r="C423" t="s">
        <v>1665</v>
      </c>
      <c r="D423" t="s">
        <v>1672</v>
      </c>
      <c r="K423"/>
    </row>
    <row r="424" spans="1:11">
      <c r="A424" t="s">
        <v>326</v>
      </c>
      <c r="B424" t="s">
        <v>1688</v>
      </c>
      <c r="C424" t="s">
        <v>1665</v>
      </c>
      <c r="D424" t="s">
        <v>1672</v>
      </c>
      <c r="K424"/>
    </row>
    <row r="425" spans="1:11">
      <c r="A425" t="s">
        <v>358</v>
      </c>
      <c r="B425" t="s">
        <v>1688</v>
      </c>
      <c r="C425" t="s">
        <v>1665</v>
      </c>
      <c r="D425" t="s">
        <v>1672</v>
      </c>
      <c r="K425"/>
    </row>
    <row r="426" spans="1:11">
      <c r="A426" t="s">
        <v>367</v>
      </c>
      <c r="B426" t="s">
        <v>1688</v>
      </c>
      <c r="C426" t="s">
        <v>1665</v>
      </c>
      <c r="D426" t="s">
        <v>1672</v>
      </c>
      <c r="K426"/>
    </row>
    <row r="427" spans="1:11">
      <c r="A427" t="s">
        <v>355</v>
      </c>
      <c r="B427" t="s">
        <v>1688</v>
      </c>
      <c r="C427" t="s">
        <v>1665</v>
      </c>
      <c r="D427" t="s">
        <v>1672</v>
      </c>
      <c r="K427"/>
    </row>
    <row r="428" spans="1:11">
      <c r="A428" t="s">
        <v>349</v>
      </c>
      <c r="B428" t="s">
        <v>1688</v>
      </c>
      <c r="C428" t="s">
        <v>1665</v>
      </c>
      <c r="D428" t="s">
        <v>1672</v>
      </c>
      <c r="K428"/>
    </row>
    <row r="429" spans="1:11">
      <c r="A429" t="s">
        <v>337</v>
      </c>
      <c r="B429" t="s">
        <v>1688</v>
      </c>
      <c r="C429" t="s">
        <v>1665</v>
      </c>
      <c r="D429" t="s">
        <v>1672</v>
      </c>
      <c r="K429"/>
    </row>
    <row r="430" spans="1:11">
      <c r="A430" t="s">
        <v>712</v>
      </c>
      <c r="B430" t="s">
        <v>1688</v>
      </c>
      <c r="C430" t="s">
        <v>1661</v>
      </c>
      <c r="D430" t="s">
        <v>1675</v>
      </c>
      <c r="K430"/>
    </row>
    <row r="431" spans="1:11">
      <c r="A431" t="s">
        <v>711</v>
      </c>
      <c r="B431" t="s">
        <v>1688</v>
      </c>
      <c r="C431" t="s">
        <v>1661</v>
      </c>
      <c r="D431" t="s">
        <v>1675</v>
      </c>
      <c r="K431"/>
    </row>
    <row r="432" spans="1:11">
      <c r="A432" t="s">
        <v>344</v>
      </c>
      <c r="B432" t="s">
        <v>1688</v>
      </c>
      <c r="C432" t="s">
        <v>1665</v>
      </c>
      <c r="D432" t="s">
        <v>1672</v>
      </c>
      <c r="K432"/>
    </row>
    <row r="433" spans="1:11">
      <c r="A433" t="s">
        <v>331</v>
      </c>
      <c r="B433" t="s">
        <v>1688</v>
      </c>
      <c r="C433" t="s">
        <v>1665</v>
      </c>
      <c r="D433" t="s">
        <v>1672</v>
      </c>
      <c r="K433"/>
    </row>
    <row r="434" spans="1:11">
      <c r="A434" t="s">
        <v>360</v>
      </c>
      <c r="B434" t="s">
        <v>1688</v>
      </c>
      <c r="C434" t="s">
        <v>1665</v>
      </c>
      <c r="D434" t="s">
        <v>1672</v>
      </c>
      <c r="K434"/>
    </row>
    <row r="435" spans="1:11">
      <c r="A435" t="s">
        <v>333</v>
      </c>
      <c r="B435" t="s">
        <v>1688</v>
      </c>
      <c r="C435" t="s">
        <v>1665</v>
      </c>
      <c r="D435" t="s">
        <v>1672</v>
      </c>
      <c r="K435"/>
    </row>
    <row r="436" spans="1:11">
      <c r="A436" t="s">
        <v>348</v>
      </c>
      <c r="B436" t="s">
        <v>1688</v>
      </c>
      <c r="C436" t="s">
        <v>1665</v>
      </c>
      <c r="D436" t="s">
        <v>1672</v>
      </c>
      <c r="K436"/>
    </row>
    <row r="437" spans="1:11">
      <c r="A437" t="s">
        <v>327</v>
      </c>
      <c r="B437" t="s">
        <v>1688</v>
      </c>
      <c r="C437" t="s">
        <v>1665</v>
      </c>
      <c r="D437" t="s">
        <v>1672</v>
      </c>
      <c r="K437"/>
    </row>
    <row r="438" spans="1:11">
      <c r="A438" t="s">
        <v>325</v>
      </c>
      <c r="B438" t="s">
        <v>1688</v>
      </c>
      <c r="C438" t="s">
        <v>1665</v>
      </c>
      <c r="D438" t="s">
        <v>1672</v>
      </c>
      <c r="K438"/>
    </row>
    <row r="439" spans="1:11">
      <c r="A439" t="s">
        <v>340</v>
      </c>
      <c r="B439" t="s">
        <v>1688</v>
      </c>
      <c r="C439" t="s">
        <v>1665</v>
      </c>
      <c r="D439" t="s">
        <v>1672</v>
      </c>
      <c r="K439"/>
    </row>
    <row r="440" spans="1:11">
      <c r="A440" t="s">
        <v>336</v>
      </c>
      <c r="B440" t="s">
        <v>1688</v>
      </c>
      <c r="C440" t="s">
        <v>1665</v>
      </c>
      <c r="D440" t="s">
        <v>1672</v>
      </c>
      <c r="K440"/>
    </row>
    <row r="441" spans="1:11">
      <c r="A441" t="s">
        <v>346</v>
      </c>
      <c r="B441" t="s">
        <v>1688</v>
      </c>
      <c r="C441" t="s">
        <v>1665</v>
      </c>
      <c r="D441" t="s">
        <v>1672</v>
      </c>
      <c r="K441"/>
    </row>
    <row r="442" spans="1:11">
      <c r="A442" t="s">
        <v>356</v>
      </c>
      <c r="B442" t="s">
        <v>1688</v>
      </c>
      <c r="C442" t="s">
        <v>1665</v>
      </c>
      <c r="D442" t="s">
        <v>1672</v>
      </c>
      <c r="K442"/>
    </row>
    <row r="443" spans="1:11">
      <c r="A443" t="s">
        <v>359</v>
      </c>
      <c r="B443" t="s">
        <v>1688</v>
      </c>
      <c r="C443" t="s">
        <v>1665</v>
      </c>
      <c r="D443" t="s">
        <v>1672</v>
      </c>
      <c r="K443"/>
    </row>
    <row r="444" spans="1:11">
      <c r="A444" t="s">
        <v>350</v>
      </c>
      <c r="B444" t="s">
        <v>1688</v>
      </c>
      <c r="C444" t="s">
        <v>1665</v>
      </c>
      <c r="D444" t="s">
        <v>1672</v>
      </c>
      <c r="K444"/>
    </row>
    <row r="445" spans="1:11">
      <c r="A445" t="s">
        <v>347</v>
      </c>
      <c r="B445" t="s">
        <v>1688</v>
      </c>
      <c r="C445" t="s">
        <v>1665</v>
      </c>
      <c r="D445" t="s">
        <v>1672</v>
      </c>
      <c r="K445"/>
    </row>
    <row r="446" spans="1:11">
      <c r="A446" t="s">
        <v>366</v>
      </c>
      <c r="B446" t="s">
        <v>1688</v>
      </c>
      <c r="C446" t="s">
        <v>1665</v>
      </c>
      <c r="D446" t="s">
        <v>1672</v>
      </c>
      <c r="K446"/>
    </row>
    <row r="447" spans="1:11">
      <c r="A447" t="s">
        <v>332</v>
      </c>
      <c r="B447" t="s">
        <v>1688</v>
      </c>
      <c r="C447" t="s">
        <v>1665</v>
      </c>
      <c r="D447" t="s">
        <v>1672</v>
      </c>
      <c r="K447"/>
    </row>
    <row r="448" spans="1:11">
      <c r="A448" t="s">
        <v>343</v>
      </c>
      <c r="B448" t="s">
        <v>1688</v>
      </c>
      <c r="C448" t="s">
        <v>1665</v>
      </c>
      <c r="D448" t="s">
        <v>1672</v>
      </c>
      <c r="K448"/>
    </row>
    <row r="449" spans="1:11">
      <c r="A449" t="s">
        <v>339</v>
      </c>
      <c r="B449" t="s">
        <v>1688</v>
      </c>
      <c r="C449" t="s">
        <v>1665</v>
      </c>
      <c r="D449" t="s">
        <v>1672</v>
      </c>
      <c r="K449"/>
    </row>
    <row r="450" spans="1:11">
      <c r="A450" t="s">
        <v>371</v>
      </c>
      <c r="B450" t="s">
        <v>1688</v>
      </c>
      <c r="C450" t="s">
        <v>1665</v>
      </c>
      <c r="D450" t="s">
        <v>1672</v>
      </c>
      <c r="K450"/>
    </row>
    <row r="451" spans="1:11">
      <c r="A451" t="s">
        <v>372</v>
      </c>
      <c r="B451" t="s">
        <v>1688</v>
      </c>
      <c r="C451" t="s">
        <v>1665</v>
      </c>
      <c r="D451" t="s">
        <v>1672</v>
      </c>
      <c r="K451"/>
    </row>
    <row r="452" spans="1:11">
      <c r="A452" t="s">
        <v>341</v>
      </c>
      <c r="B452" t="s">
        <v>1688</v>
      </c>
      <c r="C452" t="s">
        <v>1665</v>
      </c>
      <c r="D452" t="s">
        <v>1672</v>
      </c>
      <c r="K452"/>
    </row>
    <row r="453" spans="1:11">
      <c r="A453" t="s">
        <v>370</v>
      </c>
      <c r="B453" t="s">
        <v>1688</v>
      </c>
      <c r="C453" t="s">
        <v>1665</v>
      </c>
      <c r="D453" t="s">
        <v>1672</v>
      </c>
      <c r="K453"/>
    </row>
    <row r="454" spans="1:11">
      <c r="A454" t="s">
        <v>342</v>
      </c>
      <c r="B454" t="s">
        <v>1688</v>
      </c>
      <c r="C454" t="s">
        <v>1665</v>
      </c>
      <c r="D454" t="s">
        <v>1672</v>
      </c>
      <c r="K454"/>
    </row>
    <row r="455" spans="1:11">
      <c r="A455" t="s">
        <v>354</v>
      </c>
      <c r="B455" t="s">
        <v>1688</v>
      </c>
      <c r="C455" t="s">
        <v>1665</v>
      </c>
      <c r="D455" t="s">
        <v>1672</v>
      </c>
      <c r="K455"/>
    </row>
    <row r="456" spans="1:11">
      <c r="A456" t="s">
        <v>322</v>
      </c>
      <c r="B456" t="s">
        <v>1688</v>
      </c>
      <c r="C456" t="s">
        <v>1665</v>
      </c>
      <c r="D456" t="s">
        <v>1672</v>
      </c>
      <c r="K456"/>
    </row>
    <row r="457" spans="1:11">
      <c r="A457" t="s">
        <v>357</v>
      </c>
      <c r="B457" t="s">
        <v>1688</v>
      </c>
      <c r="C457" t="s">
        <v>1665</v>
      </c>
      <c r="D457" t="s">
        <v>1672</v>
      </c>
      <c r="K457"/>
    </row>
    <row r="458" spans="1:11">
      <c r="A458" t="s">
        <v>330</v>
      </c>
      <c r="B458" t="s">
        <v>1688</v>
      </c>
      <c r="C458" t="s">
        <v>1665</v>
      </c>
      <c r="D458" t="s">
        <v>1672</v>
      </c>
      <c r="K458"/>
    </row>
    <row r="459" spans="1:11">
      <c r="A459" t="s">
        <v>351</v>
      </c>
      <c r="B459" t="s">
        <v>1688</v>
      </c>
      <c r="C459" t="s">
        <v>1665</v>
      </c>
      <c r="D459" t="s">
        <v>1672</v>
      </c>
      <c r="K459"/>
    </row>
    <row r="460" spans="1:11">
      <c r="A460" t="s">
        <v>724</v>
      </c>
      <c r="B460" t="s">
        <v>1688</v>
      </c>
      <c r="C460" t="s">
        <v>1667</v>
      </c>
      <c r="D460" t="s">
        <v>1670</v>
      </c>
      <c r="K460"/>
    </row>
    <row r="461" spans="1:11">
      <c r="A461" t="s">
        <v>726</v>
      </c>
      <c r="B461" t="s">
        <v>1688</v>
      </c>
      <c r="C461" t="s">
        <v>1667</v>
      </c>
      <c r="D461" t="s">
        <v>1670</v>
      </c>
      <c r="K461"/>
    </row>
    <row r="462" spans="1:11">
      <c r="A462" t="s">
        <v>725</v>
      </c>
      <c r="B462" t="s">
        <v>1688</v>
      </c>
      <c r="C462" t="s">
        <v>1667</v>
      </c>
      <c r="D462" t="s">
        <v>1670</v>
      </c>
      <c r="K462"/>
    </row>
    <row r="463" spans="1:11">
      <c r="A463" t="s">
        <v>721</v>
      </c>
      <c r="B463" t="s">
        <v>1688</v>
      </c>
      <c r="C463" t="s">
        <v>1667</v>
      </c>
      <c r="D463" t="s">
        <v>1670</v>
      </c>
      <c r="K463"/>
    </row>
    <row r="464" spans="1:11">
      <c r="A464" t="s">
        <v>723</v>
      </c>
      <c r="B464" t="s">
        <v>1688</v>
      </c>
      <c r="C464" t="s">
        <v>1667</v>
      </c>
      <c r="D464" t="s">
        <v>1670</v>
      </c>
      <c r="K464"/>
    </row>
    <row r="465" spans="1:11">
      <c r="A465" t="s">
        <v>722</v>
      </c>
      <c r="B465" t="s">
        <v>1688</v>
      </c>
      <c r="C465" t="s">
        <v>1667</v>
      </c>
      <c r="D465" t="s">
        <v>1670</v>
      </c>
      <c r="K465"/>
    </row>
    <row r="466" spans="1:11">
      <c r="A466" t="s">
        <v>727</v>
      </c>
      <c r="B466" t="s">
        <v>1688</v>
      </c>
      <c r="C466" t="s">
        <v>1667</v>
      </c>
      <c r="D466" t="s">
        <v>1670</v>
      </c>
      <c r="K466"/>
    </row>
    <row r="467" spans="1:11">
      <c r="A467" t="s">
        <v>729</v>
      </c>
      <c r="B467" t="s">
        <v>1688</v>
      </c>
      <c r="C467" t="s">
        <v>1667</v>
      </c>
      <c r="D467" t="s">
        <v>1670</v>
      </c>
      <c r="K467"/>
    </row>
    <row r="468" spans="1:11">
      <c r="A468" t="s">
        <v>728</v>
      </c>
      <c r="B468" t="s">
        <v>1688</v>
      </c>
      <c r="C468" t="s">
        <v>1667</v>
      </c>
      <c r="D468" t="s">
        <v>1670</v>
      </c>
      <c r="K468"/>
    </row>
    <row r="469" spans="1:11">
      <c r="A469" t="s">
        <v>730</v>
      </c>
      <c r="B469" t="s">
        <v>1688</v>
      </c>
      <c r="C469" t="s">
        <v>1667</v>
      </c>
      <c r="D469" t="s">
        <v>1670</v>
      </c>
      <c r="K469"/>
    </row>
    <row r="470" spans="1:11">
      <c r="A470" t="s">
        <v>731</v>
      </c>
      <c r="B470" t="s">
        <v>1688</v>
      </c>
      <c r="C470" t="s">
        <v>1667</v>
      </c>
      <c r="D470" t="s">
        <v>1670</v>
      </c>
      <c r="K470"/>
    </row>
    <row r="471" spans="1:11">
      <c r="A471" t="s">
        <v>736</v>
      </c>
      <c r="B471" t="s">
        <v>1688</v>
      </c>
      <c r="C471" t="s">
        <v>1667</v>
      </c>
      <c r="D471" t="s">
        <v>1670</v>
      </c>
      <c r="K471"/>
    </row>
    <row r="472" spans="1:11">
      <c r="A472" t="s">
        <v>738</v>
      </c>
      <c r="B472" t="s">
        <v>1688</v>
      </c>
      <c r="C472" t="s">
        <v>1667</v>
      </c>
      <c r="D472" t="s">
        <v>1670</v>
      </c>
      <c r="K472"/>
    </row>
    <row r="473" spans="1:11">
      <c r="A473" t="s">
        <v>737</v>
      </c>
      <c r="B473" t="s">
        <v>1688</v>
      </c>
      <c r="C473" t="s">
        <v>1667</v>
      </c>
      <c r="D473" t="s">
        <v>1670</v>
      </c>
      <c r="K473"/>
    </row>
    <row r="474" spans="1:11">
      <c r="A474" t="s">
        <v>739</v>
      </c>
      <c r="B474" t="s">
        <v>1688</v>
      </c>
      <c r="C474" t="s">
        <v>1667</v>
      </c>
      <c r="D474" t="s">
        <v>1670</v>
      </c>
      <c r="K474"/>
    </row>
    <row r="475" spans="1:11">
      <c r="A475" t="s">
        <v>741</v>
      </c>
      <c r="B475" t="s">
        <v>1688</v>
      </c>
      <c r="C475" t="s">
        <v>1667</v>
      </c>
      <c r="D475" t="s">
        <v>1670</v>
      </c>
      <c r="K475"/>
    </row>
    <row r="476" spans="1:11">
      <c r="A476" t="s">
        <v>740</v>
      </c>
      <c r="B476" t="s">
        <v>1688</v>
      </c>
      <c r="C476" t="s">
        <v>1667</v>
      </c>
      <c r="D476" t="s">
        <v>1670</v>
      </c>
      <c r="K476"/>
    </row>
    <row r="477" spans="1:11">
      <c r="A477" t="s">
        <v>733</v>
      </c>
      <c r="B477" t="s">
        <v>1688</v>
      </c>
      <c r="C477" t="s">
        <v>1667</v>
      </c>
      <c r="D477" t="s">
        <v>1670</v>
      </c>
      <c r="K477"/>
    </row>
    <row r="478" spans="1:11">
      <c r="A478" t="s">
        <v>732</v>
      </c>
      <c r="B478" t="s">
        <v>1688</v>
      </c>
      <c r="C478" t="s">
        <v>1667</v>
      </c>
      <c r="D478" t="s">
        <v>1670</v>
      </c>
      <c r="K478"/>
    </row>
    <row r="479" spans="1:11">
      <c r="A479" t="s">
        <v>735</v>
      </c>
      <c r="B479" t="s">
        <v>1688</v>
      </c>
      <c r="C479" t="s">
        <v>1667</v>
      </c>
      <c r="D479" t="s">
        <v>1670</v>
      </c>
      <c r="K479"/>
    </row>
    <row r="480" spans="1:11">
      <c r="A480" t="s">
        <v>734</v>
      </c>
      <c r="B480" t="s">
        <v>1688</v>
      </c>
      <c r="C480" t="s">
        <v>1667</v>
      </c>
      <c r="D480" t="s">
        <v>1670</v>
      </c>
      <c r="K480"/>
    </row>
    <row r="481" spans="1:11">
      <c r="A481" t="s">
        <v>745</v>
      </c>
      <c r="B481" t="s">
        <v>1688</v>
      </c>
      <c r="C481" t="s">
        <v>1667</v>
      </c>
      <c r="D481" t="s">
        <v>1670</v>
      </c>
      <c r="K481"/>
    </row>
    <row r="482" spans="1:11">
      <c r="A482" t="s">
        <v>747</v>
      </c>
      <c r="B482" t="s">
        <v>1688</v>
      </c>
      <c r="C482" t="s">
        <v>1667</v>
      </c>
      <c r="D482" t="s">
        <v>1670</v>
      </c>
      <c r="K482"/>
    </row>
    <row r="483" spans="1:11">
      <c r="A483" t="s">
        <v>746</v>
      </c>
      <c r="B483" t="s">
        <v>1688</v>
      </c>
      <c r="C483" t="s">
        <v>1667</v>
      </c>
      <c r="D483" t="s">
        <v>1670</v>
      </c>
      <c r="K483"/>
    </row>
    <row r="484" spans="1:11">
      <c r="A484" t="s">
        <v>756</v>
      </c>
      <c r="B484" t="s">
        <v>1688</v>
      </c>
      <c r="C484" t="s">
        <v>1667</v>
      </c>
      <c r="D484" t="s">
        <v>1670</v>
      </c>
      <c r="K484"/>
    </row>
    <row r="485" spans="1:11">
      <c r="A485" t="s">
        <v>748</v>
      </c>
      <c r="B485" t="s">
        <v>1688</v>
      </c>
      <c r="C485" t="s">
        <v>1667</v>
      </c>
      <c r="D485" t="s">
        <v>1670</v>
      </c>
      <c r="K485"/>
    </row>
    <row r="486" spans="1:11">
      <c r="A486" t="s">
        <v>758</v>
      </c>
      <c r="B486" t="s">
        <v>1688</v>
      </c>
      <c r="C486" t="s">
        <v>1667</v>
      </c>
      <c r="D486" t="s">
        <v>1670</v>
      </c>
      <c r="K486"/>
    </row>
    <row r="487" spans="1:11">
      <c r="A487" t="s">
        <v>759</v>
      </c>
      <c r="B487" t="s">
        <v>1688</v>
      </c>
      <c r="C487" t="s">
        <v>1667</v>
      </c>
      <c r="D487" t="s">
        <v>1671</v>
      </c>
      <c r="K487"/>
    </row>
    <row r="488" spans="1:11">
      <c r="A488" t="s">
        <v>761</v>
      </c>
      <c r="B488" t="s">
        <v>1688</v>
      </c>
      <c r="C488" t="s">
        <v>1667</v>
      </c>
      <c r="D488" t="s">
        <v>1670</v>
      </c>
      <c r="K488"/>
    </row>
    <row r="489" spans="1:11">
      <c r="A489" t="s">
        <v>760</v>
      </c>
      <c r="B489" t="s">
        <v>1688</v>
      </c>
      <c r="C489" t="s">
        <v>1667</v>
      </c>
      <c r="D489" t="s">
        <v>1671</v>
      </c>
      <c r="K489"/>
    </row>
    <row r="490" spans="1:11">
      <c r="A490" t="s">
        <v>749</v>
      </c>
      <c r="B490" t="s">
        <v>1688</v>
      </c>
      <c r="C490" t="s">
        <v>1667</v>
      </c>
      <c r="D490" t="s">
        <v>1670</v>
      </c>
      <c r="K490"/>
    </row>
    <row r="491" spans="1:11">
      <c r="A491" t="s">
        <v>751</v>
      </c>
      <c r="B491" t="s">
        <v>1688</v>
      </c>
      <c r="C491" t="s">
        <v>1667</v>
      </c>
      <c r="D491" t="s">
        <v>1670</v>
      </c>
      <c r="K491"/>
    </row>
    <row r="492" spans="1:11">
      <c r="A492" t="s">
        <v>750</v>
      </c>
      <c r="B492" t="s">
        <v>1688</v>
      </c>
      <c r="C492" t="s">
        <v>1667</v>
      </c>
      <c r="D492" t="s">
        <v>1670</v>
      </c>
      <c r="K492"/>
    </row>
    <row r="493" spans="1:11">
      <c r="A493" t="s">
        <v>742</v>
      </c>
      <c r="B493" t="s">
        <v>1688</v>
      </c>
      <c r="C493" t="s">
        <v>1667</v>
      </c>
      <c r="D493" t="s">
        <v>1670</v>
      </c>
      <c r="K493"/>
    </row>
    <row r="494" spans="1:11">
      <c r="A494" t="s">
        <v>744</v>
      </c>
      <c r="B494" t="s">
        <v>1688</v>
      </c>
      <c r="C494" t="s">
        <v>1667</v>
      </c>
      <c r="D494" t="s">
        <v>1670</v>
      </c>
      <c r="K494"/>
    </row>
    <row r="495" spans="1:11">
      <c r="A495" t="s">
        <v>743</v>
      </c>
      <c r="B495" t="s">
        <v>1688</v>
      </c>
      <c r="C495" t="s">
        <v>1667</v>
      </c>
      <c r="D495" t="s">
        <v>1670</v>
      </c>
      <c r="K495"/>
    </row>
    <row r="496" spans="1:11">
      <c r="A496" t="s">
        <v>753</v>
      </c>
      <c r="B496" t="s">
        <v>1688</v>
      </c>
      <c r="C496" t="s">
        <v>1667</v>
      </c>
      <c r="D496" t="s">
        <v>1670</v>
      </c>
      <c r="K496"/>
    </row>
    <row r="497" spans="1:11">
      <c r="A497" t="s">
        <v>752</v>
      </c>
      <c r="B497" t="s">
        <v>1688</v>
      </c>
      <c r="C497" t="s">
        <v>1667</v>
      </c>
      <c r="D497" t="s">
        <v>1670</v>
      </c>
      <c r="K497"/>
    </row>
    <row r="498" spans="1:11">
      <c r="A498" t="s">
        <v>757</v>
      </c>
      <c r="B498" t="s">
        <v>1688</v>
      </c>
      <c r="C498" t="s">
        <v>1667</v>
      </c>
      <c r="D498" t="s">
        <v>1670</v>
      </c>
      <c r="K498"/>
    </row>
    <row r="499" spans="1:11">
      <c r="A499" t="s">
        <v>754</v>
      </c>
      <c r="B499" t="s">
        <v>1688</v>
      </c>
      <c r="C499" t="s">
        <v>1667</v>
      </c>
      <c r="D499" t="s">
        <v>1670</v>
      </c>
      <c r="K499"/>
    </row>
    <row r="500" spans="1:11">
      <c r="A500" t="s">
        <v>755</v>
      </c>
      <c r="B500" t="s">
        <v>1688</v>
      </c>
      <c r="C500" t="s">
        <v>1667</v>
      </c>
      <c r="D500" t="s">
        <v>1670</v>
      </c>
      <c r="K500"/>
    </row>
    <row r="501" spans="1:11">
      <c r="A501" t="s">
        <v>773</v>
      </c>
      <c r="B501" t="s">
        <v>1688</v>
      </c>
      <c r="C501" t="s">
        <v>1667</v>
      </c>
      <c r="D501" t="s">
        <v>1670</v>
      </c>
      <c r="K501"/>
    </row>
    <row r="502" spans="1:11">
      <c r="A502" t="s">
        <v>772</v>
      </c>
      <c r="B502" t="s">
        <v>1688</v>
      </c>
      <c r="C502" t="s">
        <v>1667</v>
      </c>
      <c r="D502" t="s">
        <v>1670</v>
      </c>
      <c r="K502"/>
    </row>
    <row r="503" spans="1:11">
      <c r="A503" t="s">
        <v>777</v>
      </c>
      <c r="B503" t="s">
        <v>1688</v>
      </c>
      <c r="C503" t="s">
        <v>1667</v>
      </c>
      <c r="D503" t="s">
        <v>1670</v>
      </c>
      <c r="K503"/>
    </row>
    <row r="504" spans="1:11">
      <c r="A504" t="s">
        <v>774</v>
      </c>
      <c r="B504" t="s">
        <v>1688</v>
      </c>
      <c r="C504" t="s">
        <v>1667</v>
      </c>
      <c r="D504" t="s">
        <v>1670</v>
      </c>
      <c r="K504"/>
    </row>
    <row r="505" spans="1:11">
      <c r="A505" t="s">
        <v>766</v>
      </c>
      <c r="B505" t="s">
        <v>1688</v>
      </c>
      <c r="C505" t="s">
        <v>1667</v>
      </c>
      <c r="D505" t="s">
        <v>1670</v>
      </c>
      <c r="K505"/>
    </row>
    <row r="506" spans="1:11">
      <c r="A506" t="s">
        <v>762</v>
      </c>
      <c r="B506" t="s">
        <v>1688</v>
      </c>
      <c r="C506" t="s">
        <v>1667</v>
      </c>
      <c r="D506" t="s">
        <v>1670</v>
      </c>
      <c r="K506"/>
    </row>
    <row r="507" spans="1:11">
      <c r="A507" t="s">
        <v>765</v>
      </c>
      <c r="B507" t="s">
        <v>1688</v>
      </c>
      <c r="C507" t="s">
        <v>1667</v>
      </c>
      <c r="D507" t="s">
        <v>1670</v>
      </c>
      <c r="K507"/>
    </row>
    <row r="508" spans="1:11">
      <c r="A508" t="s">
        <v>776</v>
      </c>
      <c r="B508" t="s">
        <v>1688</v>
      </c>
      <c r="C508" t="s">
        <v>1667</v>
      </c>
      <c r="D508" t="s">
        <v>1670</v>
      </c>
      <c r="K508"/>
    </row>
    <row r="509" spans="1:11">
      <c r="A509" t="s">
        <v>775</v>
      </c>
      <c r="B509" t="s">
        <v>1688</v>
      </c>
      <c r="C509" t="s">
        <v>1667</v>
      </c>
      <c r="D509" t="s">
        <v>1670</v>
      </c>
      <c r="K509"/>
    </row>
    <row r="510" spans="1:11">
      <c r="A510" t="s">
        <v>763</v>
      </c>
      <c r="B510" t="s">
        <v>1688</v>
      </c>
      <c r="C510" t="s">
        <v>1667</v>
      </c>
      <c r="D510" t="s">
        <v>1670</v>
      </c>
      <c r="K510"/>
    </row>
    <row r="511" spans="1:11">
      <c r="A511" t="s">
        <v>767</v>
      </c>
      <c r="B511" t="s">
        <v>1688</v>
      </c>
      <c r="C511" t="s">
        <v>1667</v>
      </c>
      <c r="D511" t="s">
        <v>1670</v>
      </c>
      <c r="K511"/>
    </row>
    <row r="512" spans="1:11">
      <c r="A512" t="s">
        <v>769</v>
      </c>
      <c r="B512" t="s">
        <v>1688</v>
      </c>
      <c r="C512" t="s">
        <v>1667</v>
      </c>
      <c r="D512" t="s">
        <v>1670</v>
      </c>
      <c r="K512"/>
    </row>
    <row r="513" spans="1:11">
      <c r="A513" t="s">
        <v>768</v>
      </c>
      <c r="B513" t="s">
        <v>1688</v>
      </c>
      <c r="C513" t="s">
        <v>1667</v>
      </c>
      <c r="D513" t="s">
        <v>1670</v>
      </c>
      <c r="K513"/>
    </row>
    <row r="514" spans="1:11">
      <c r="A514" t="s">
        <v>764</v>
      </c>
      <c r="B514" t="s">
        <v>1688</v>
      </c>
      <c r="C514" t="s">
        <v>1667</v>
      </c>
      <c r="D514" t="s">
        <v>1670</v>
      </c>
      <c r="K514"/>
    </row>
    <row r="515" spans="1:11">
      <c r="A515" t="s">
        <v>771</v>
      </c>
      <c r="B515" t="s">
        <v>1688</v>
      </c>
      <c r="C515" t="s">
        <v>1667</v>
      </c>
      <c r="D515" t="s">
        <v>1670</v>
      </c>
      <c r="K515"/>
    </row>
    <row r="516" spans="1:11">
      <c r="A516" t="s">
        <v>770</v>
      </c>
      <c r="B516" t="s">
        <v>1688</v>
      </c>
      <c r="C516" t="s">
        <v>1667</v>
      </c>
      <c r="D516" t="s">
        <v>1670</v>
      </c>
      <c r="K516"/>
    </row>
    <row r="517" spans="1:11">
      <c r="A517" t="s">
        <v>778</v>
      </c>
      <c r="B517" t="s">
        <v>1688</v>
      </c>
      <c r="C517" t="s">
        <v>1667</v>
      </c>
      <c r="D517" t="s">
        <v>1670</v>
      </c>
      <c r="K517"/>
    </row>
    <row r="518" spans="1:11">
      <c r="A518" t="s">
        <v>782</v>
      </c>
      <c r="B518" t="s">
        <v>1688</v>
      </c>
      <c r="C518" t="s">
        <v>1667</v>
      </c>
      <c r="D518" t="s">
        <v>1670</v>
      </c>
      <c r="K518"/>
    </row>
    <row r="519" spans="1:11">
      <c r="A519" t="s">
        <v>783</v>
      </c>
      <c r="B519" t="s">
        <v>1688</v>
      </c>
      <c r="C519" t="s">
        <v>1667</v>
      </c>
      <c r="D519" t="s">
        <v>1670</v>
      </c>
      <c r="K519"/>
    </row>
    <row r="520" spans="1:11">
      <c r="A520" t="s">
        <v>780</v>
      </c>
      <c r="B520" t="s">
        <v>1688</v>
      </c>
      <c r="C520" t="s">
        <v>1667</v>
      </c>
      <c r="D520" t="s">
        <v>1670</v>
      </c>
      <c r="K520"/>
    </row>
    <row r="521" spans="1:11">
      <c r="A521" t="s">
        <v>781</v>
      </c>
      <c r="B521" t="s">
        <v>1688</v>
      </c>
      <c r="C521" t="s">
        <v>1667</v>
      </c>
      <c r="D521" t="s">
        <v>1670</v>
      </c>
      <c r="K521"/>
    </row>
    <row r="522" spans="1:11">
      <c r="A522" t="s">
        <v>779</v>
      </c>
      <c r="B522" t="s">
        <v>1688</v>
      </c>
      <c r="C522" t="s">
        <v>1667</v>
      </c>
      <c r="D522" t="s">
        <v>1670</v>
      </c>
      <c r="K522"/>
    </row>
    <row r="523" spans="1:11">
      <c r="A523" t="s">
        <v>784</v>
      </c>
      <c r="B523" t="s">
        <v>1688</v>
      </c>
      <c r="C523" t="s">
        <v>1667</v>
      </c>
      <c r="D523" t="s">
        <v>1670</v>
      </c>
      <c r="K523"/>
    </row>
    <row r="524" spans="1:11">
      <c r="A524" t="s">
        <v>785</v>
      </c>
      <c r="B524" t="s">
        <v>1688</v>
      </c>
      <c r="C524" t="s">
        <v>1667</v>
      </c>
      <c r="D524" t="s">
        <v>1670</v>
      </c>
      <c r="K524"/>
    </row>
    <row r="525" spans="1:11">
      <c r="A525" t="s">
        <v>787</v>
      </c>
      <c r="B525" t="s">
        <v>1688</v>
      </c>
      <c r="C525" t="s">
        <v>1667</v>
      </c>
      <c r="D525" t="s">
        <v>1670</v>
      </c>
      <c r="K525"/>
    </row>
    <row r="526" spans="1:11">
      <c r="A526" t="s">
        <v>786</v>
      </c>
      <c r="B526" t="s">
        <v>1688</v>
      </c>
      <c r="C526" t="s">
        <v>1667</v>
      </c>
      <c r="D526" t="s">
        <v>1670</v>
      </c>
      <c r="K526"/>
    </row>
    <row r="527" spans="1:11">
      <c r="A527" t="s">
        <v>788</v>
      </c>
      <c r="B527" t="s">
        <v>1688</v>
      </c>
      <c r="C527" t="s">
        <v>1667</v>
      </c>
      <c r="D527" t="s">
        <v>1670</v>
      </c>
      <c r="K527"/>
    </row>
    <row r="528" spans="1:11">
      <c r="A528" t="s">
        <v>789</v>
      </c>
      <c r="B528" t="s">
        <v>1688</v>
      </c>
      <c r="C528" t="s">
        <v>1667</v>
      </c>
      <c r="D528" t="s">
        <v>1670</v>
      </c>
      <c r="K528"/>
    </row>
    <row r="529" spans="1:11">
      <c r="A529" t="s">
        <v>790</v>
      </c>
      <c r="B529" t="s">
        <v>1688</v>
      </c>
      <c r="C529" t="s">
        <v>1667</v>
      </c>
      <c r="D529" t="s">
        <v>1670</v>
      </c>
      <c r="K529"/>
    </row>
    <row r="530" spans="1:11">
      <c r="A530" t="s">
        <v>791</v>
      </c>
      <c r="B530" t="s">
        <v>1688</v>
      </c>
      <c r="C530" t="s">
        <v>1667</v>
      </c>
      <c r="D530" t="s">
        <v>1670</v>
      </c>
      <c r="K530"/>
    </row>
    <row r="531" spans="1:11">
      <c r="A531" t="s">
        <v>713</v>
      </c>
      <c r="B531" t="s">
        <v>1688</v>
      </c>
      <c r="C531" t="s">
        <v>1661</v>
      </c>
      <c r="D531" t="s">
        <v>1675</v>
      </c>
      <c r="K531"/>
    </row>
    <row r="532" spans="1:11">
      <c r="A532" t="s">
        <v>714</v>
      </c>
      <c r="B532" t="s">
        <v>1688</v>
      </c>
      <c r="C532" t="s">
        <v>1661</v>
      </c>
      <c r="D532" t="s">
        <v>1675</v>
      </c>
      <c r="K532"/>
    </row>
    <row r="533" spans="1:11">
      <c r="A533" t="s">
        <v>715</v>
      </c>
      <c r="B533" t="s">
        <v>1688</v>
      </c>
      <c r="C533" t="s">
        <v>1661</v>
      </c>
      <c r="D533" t="s">
        <v>1675</v>
      </c>
      <c r="K533"/>
    </row>
    <row r="534" spans="1:11">
      <c r="A534" t="s">
        <v>716</v>
      </c>
      <c r="B534" t="s">
        <v>1688</v>
      </c>
      <c r="C534" t="s">
        <v>1661</v>
      </c>
      <c r="D534" t="s">
        <v>1675</v>
      </c>
      <c r="K534"/>
    </row>
    <row r="535" spans="1:11">
      <c r="A535" t="s">
        <v>718</v>
      </c>
      <c r="B535" t="s">
        <v>1688</v>
      </c>
      <c r="C535" t="s">
        <v>1667</v>
      </c>
      <c r="D535" t="s">
        <v>1672</v>
      </c>
      <c r="K535"/>
    </row>
    <row r="536" spans="1:11">
      <c r="A536" t="s">
        <v>717</v>
      </c>
      <c r="B536" t="s">
        <v>1688</v>
      </c>
      <c r="C536" t="s">
        <v>1667</v>
      </c>
      <c r="D536" t="s">
        <v>1678</v>
      </c>
      <c r="K536"/>
    </row>
    <row r="537" spans="1:11">
      <c r="A537" t="s">
        <v>720</v>
      </c>
      <c r="B537" t="s">
        <v>1688</v>
      </c>
      <c r="C537" t="s">
        <v>1667</v>
      </c>
      <c r="D537" t="s">
        <v>1686</v>
      </c>
      <c r="K537"/>
    </row>
    <row r="538" spans="1:11">
      <c r="A538" t="s">
        <v>719</v>
      </c>
      <c r="B538" t="s">
        <v>1688</v>
      </c>
      <c r="C538" t="s">
        <v>1667</v>
      </c>
      <c r="D538" t="s">
        <v>1679</v>
      </c>
      <c r="K538"/>
    </row>
    <row r="539" spans="1:11">
      <c r="A539" t="s">
        <v>793</v>
      </c>
      <c r="B539" t="s">
        <v>1688</v>
      </c>
      <c r="C539" t="s">
        <v>1667</v>
      </c>
      <c r="D539" t="s">
        <v>1672</v>
      </c>
      <c r="K539"/>
    </row>
    <row r="540" spans="1:11">
      <c r="A540" t="s">
        <v>794</v>
      </c>
      <c r="B540" t="s">
        <v>1688</v>
      </c>
      <c r="C540" t="s">
        <v>1667</v>
      </c>
      <c r="D540" t="s">
        <v>1685</v>
      </c>
      <c r="K540"/>
    </row>
    <row r="541" spans="1:11">
      <c r="A541" t="s">
        <v>792</v>
      </c>
      <c r="B541" t="s">
        <v>1688</v>
      </c>
      <c r="C541" t="s">
        <v>1667</v>
      </c>
      <c r="D541" t="s">
        <v>1678</v>
      </c>
      <c r="K541"/>
    </row>
    <row r="542" spans="1:11">
      <c r="A542" t="s">
        <v>798</v>
      </c>
      <c r="B542" t="s">
        <v>1688</v>
      </c>
      <c r="C542" t="s">
        <v>1667</v>
      </c>
      <c r="D542" t="s">
        <v>1677</v>
      </c>
      <c r="K542"/>
    </row>
    <row r="543" spans="1:11">
      <c r="A543" t="s">
        <v>796</v>
      </c>
      <c r="B543" t="s">
        <v>1688</v>
      </c>
      <c r="C543" t="s">
        <v>1667</v>
      </c>
      <c r="D543" t="s">
        <v>1681</v>
      </c>
      <c r="K543"/>
    </row>
    <row r="544" spans="1:11">
      <c r="A544" t="s">
        <v>797</v>
      </c>
      <c r="B544" t="s">
        <v>1688</v>
      </c>
      <c r="C544" t="s">
        <v>1667</v>
      </c>
      <c r="D544" t="s">
        <v>1671</v>
      </c>
      <c r="K544"/>
    </row>
    <row r="545" spans="1:11">
      <c r="A545" t="s">
        <v>795</v>
      </c>
      <c r="B545" t="s">
        <v>1688</v>
      </c>
      <c r="C545" t="s">
        <v>1667</v>
      </c>
      <c r="D545" t="s">
        <v>1680</v>
      </c>
      <c r="K545"/>
    </row>
    <row r="546" spans="1:11">
      <c r="A546" t="s">
        <v>800</v>
      </c>
      <c r="B546" t="s">
        <v>1688</v>
      </c>
      <c r="C546" t="s">
        <v>1667</v>
      </c>
      <c r="D546" t="s">
        <v>1672</v>
      </c>
      <c r="K546"/>
    </row>
    <row r="547" spans="1:11">
      <c r="A547" t="s">
        <v>801</v>
      </c>
      <c r="B547" t="s">
        <v>1688</v>
      </c>
      <c r="C547" t="s">
        <v>1667</v>
      </c>
      <c r="D547" t="s">
        <v>1682</v>
      </c>
      <c r="K547"/>
    </row>
    <row r="548" spans="1:11">
      <c r="A548" t="s">
        <v>799</v>
      </c>
      <c r="B548" t="s">
        <v>1688</v>
      </c>
      <c r="C548" t="s">
        <v>1667</v>
      </c>
      <c r="D548" t="s">
        <v>1678</v>
      </c>
      <c r="K548"/>
    </row>
    <row r="549" spans="1:11">
      <c r="A549" t="s">
        <v>806</v>
      </c>
      <c r="B549" t="s">
        <v>1688</v>
      </c>
      <c r="C549" t="s">
        <v>1667</v>
      </c>
      <c r="D549" t="s">
        <v>1677</v>
      </c>
      <c r="K549"/>
    </row>
    <row r="550" spans="1:11">
      <c r="A550" t="s">
        <v>803</v>
      </c>
      <c r="B550" t="s">
        <v>1688</v>
      </c>
      <c r="C550" t="s">
        <v>1667</v>
      </c>
      <c r="D550" t="s">
        <v>1681</v>
      </c>
      <c r="K550"/>
    </row>
    <row r="551" spans="1:11">
      <c r="A551" t="s">
        <v>804</v>
      </c>
      <c r="B551" t="s">
        <v>1688</v>
      </c>
      <c r="C551" t="s">
        <v>1667</v>
      </c>
      <c r="D551" t="s">
        <v>1671</v>
      </c>
      <c r="K551"/>
    </row>
    <row r="552" spans="1:11">
      <c r="A552" t="s">
        <v>805</v>
      </c>
      <c r="B552" t="s">
        <v>1688</v>
      </c>
      <c r="C552" t="s">
        <v>1667</v>
      </c>
      <c r="D552" t="s">
        <v>1671</v>
      </c>
      <c r="K552"/>
    </row>
    <row r="553" spans="1:11">
      <c r="A553" t="s">
        <v>802</v>
      </c>
      <c r="B553" t="s">
        <v>1688</v>
      </c>
      <c r="C553" t="s">
        <v>1667</v>
      </c>
      <c r="D553" t="s">
        <v>1679</v>
      </c>
      <c r="K553"/>
    </row>
    <row r="554" spans="1:11">
      <c r="A554" t="s">
        <v>809</v>
      </c>
      <c r="B554" t="s">
        <v>1688</v>
      </c>
      <c r="C554" t="s">
        <v>1667</v>
      </c>
      <c r="D554" t="s">
        <v>1672</v>
      </c>
      <c r="K554"/>
    </row>
    <row r="555" spans="1:11">
      <c r="A555" t="s">
        <v>810</v>
      </c>
      <c r="B555" t="s">
        <v>1688</v>
      </c>
      <c r="C555" t="s">
        <v>1667</v>
      </c>
      <c r="D555" t="s">
        <v>1682</v>
      </c>
      <c r="K555"/>
    </row>
    <row r="556" spans="1:11">
      <c r="A556" t="s">
        <v>817</v>
      </c>
      <c r="B556" t="s">
        <v>1688</v>
      </c>
      <c r="C556" t="s">
        <v>1667</v>
      </c>
      <c r="D556" t="s">
        <v>1671</v>
      </c>
      <c r="K556"/>
    </row>
    <row r="557" spans="1:11">
      <c r="A557" t="s">
        <v>819</v>
      </c>
      <c r="B557" t="s">
        <v>1688</v>
      </c>
      <c r="C557" t="s">
        <v>1667</v>
      </c>
      <c r="D557" t="s">
        <v>1673</v>
      </c>
      <c r="K557"/>
    </row>
    <row r="558" spans="1:11">
      <c r="A558" t="s">
        <v>818</v>
      </c>
      <c r="B558" t="s">
        <v>1688</v>
      </c>
      <c r="C558" t="s">
        <v>1667</v>
      </c>
      <c r="D558" t="s">
        <v>1675</v>
      </c>
      <c r="K558"/>
    </row>
    <row r="559" spans="1:11">
      <c r="A559" t="s">
        <v>807</v>
      </c>
      <c r="B559" t="s">
        <v>1688</v>
      </c>
      <c r="C559" t="s">
        <v>1667</v>
      </c>
      <c r="D559" t="s">
        <v>1678</v>
      </c>
      <c r="K559"/>
    </row>
    <row r="560" spans="1:11">
      <c r="A560" t="s">
        <v>812</v>
      </c>
      <c r="B560" t="s">
        <v>1688</v>
      </c>
      <c r="C560" t="s">
        <v>1667</v>
      </c>
      <c r="D560" t="s">
        <v>1683</v>
      </c>
      <c r="K560"/>
    </row>
    <row r="561" spans="1:11">
      <c r="A561" t="s">
        <v>808</v>
      </c>
      <c r="B561" t="s">
        <v>1688</v>
      </c>
      <c r="C561" t="s">
        <v>1667</v>
      </c>
      <c r="D561" t="s">
        <v>1684</v>
      </c>
      <c r="K561"/>
    </row>
    <row r="562" spans="1:11">
      <c r="A562" t="s">
        <v>815</v>
      </c>
      <c r="B562" t="s">
        <v>1688</v>
      </c>
      <c r="C562" t="s">
        <v>1667</v>
      </c>
      <c r="D562" t="s">
        <v>1677</v>
      </c>
      <c r="K562"/>
    </row>
    <row r="563" spans="1:11">
      <c r="A563" t="s">
        <v>816</v>
      </c>
      <c r="B563" t="s">
        <v>1688</v>
      </c>
      <c r="C563" t="s">
        <v>1667</v>
      </c>
      <c r="D563" t="s">
        <v>1677</v>
      </c>
      <c r="K563"/>
    </row>
    <row r="564" spans="1:11">
      <c r="A564" t="s">
        <v>813</v>
      </c>
      <c r="B564" t="s">
        <v>1688</v>
      </c>
      <c r="C564" t="s">
        <v>1667</v>
      </c>
      <c r="D564" t="s">
        <v>1671</v>
      </c>
      <c r="K564"/>
    </row>
    <row r="565" spans="1:11">
      <c r="A565" t="s">
        <v>814</v>
      </c>
      <c r="B565" t="s">
        <v>1688</v>
      </c>
      <c r="C565" t="s">
        <v>1667</v>
      </c>
      <c r="D565" t="s">
        <v>1671</v>
      </c>
      <c r="K565"/>
    </row>
    <row r="566" spans="1:11">
      <c r="A566" t="s">
        <v>811</v>
      </c>
      <c r="B566" t="s">
        <v>1688</v>
      </c>
      <c r="C566" t="s">
        <v>1667</v>
      </c>
      <c r="D566" t="s">
        <v>1679</v>
      </c>
      <c r="K566"/>
    </row>
    <row r="567" spans="1:11">
      <c r="A567" t="s">
        <v>822</v>
      </c>
      <c r="B567" t="s">
        <v>1688</v>
      </c>
      <c r="C567" t="s">
        <v>1667</v>
      </c>
      <c r="D567" t="s">
        <v>1672</v>
      </c>
      <c r="K567"/>
    </row>
    <row r="568" spans="1:11">
      <c r="A568" t="s">
        <v>823</v>
      </c>
      <c r="B568" t="s">
        <v>1688</v>
      </c>
      <c r="C568" t="s">
        <v>1667</v>
      </c>
      <c r="D568" t="s">
        <v>1674</v>
      </c>
      <c r="K568"/>
    </row>
    <row r="569" spans="1:11">
      <c r="A569" t="s">
        <v>830</v>
      </c>
      <c r="B569" t="s">
        <v>1688</v>
      </c>
      <c r="C569" t="s">
        <v>1667</v>
      </c>
      <c r="D569" t="s">
        <v>1671</v>
      </c>
      <c r="K569"/>
    </row>
    <row r="570" spans="1:11">
      <c r="A570" t="s">
        <v>832</v>
      </c>
      <c r="B570" t="s">
        <v>1688</v>
      </c>
      <c r="C570" t="s">
        <v>1667</v>
      </c>
      <c r="D570" t="s">
        <v>1673</v>
      </c>
      <c r="K570"/>
    </row>
    <row r="571" spans="1:11">
      <c r="A571" t="s">
        <v>831</v>
      </c>
      <c r="B571" t="s">
        <v>1688</v>
      </c>
      <c r="C571" t="s">
        <v>1667</v>
      </c>
      <c r="D571" t="s">
        <v>1675</v>
      </c>
      <c r="K571"/>
    </row>
    <row r="572" spans="1:11">
      <c r="A572" t="s">
        <v>833</v>
      </c>
      <c r="B572" t="s">
        <v>1688</v>
      </c>
      <c r="C572" t="s">
        <v>1667</v>
      </c>
      <c r="D572" t="s">
        <v>1676</v>
      </c>
      <c r="K572"/>
    </row>
    <row r="573" spans="1:11">
      <c r="A573" t="s">
        <v>820</v>
      </c>
      <c r="B573" t="s">
        <v>1688</v>
      </c>
      <c r="C573" t="s">
        <v>1667</v>
      </c>
      <c r="D573" t="s">
        <v>1678</v>
      </c>
      <c r="K573"/>
    </row>
    <row r="574" spans="1:11">
      <c r="A574" t="s">
        <v>825</v>
      </c>
      <c r="B574" t="s">
        <v>1688</v>
      </c>
      <c r="C574" t="s">
        <v>1667</v>
      </c>
      <c r="D574" t="s">
        <v>1683</v>
      </c>
      <c r="K574"/>
    </row>
    <row r="575" spans="1:11">
      <c r="A575" t="s">
        <v>821</v>
      </c>
      <c r="B575" t="s">
        <v>1688</v>
      </c>
      <c r="C575" t="s">
        <v>1667</v>
      </c>
      <c r="D575" t="s">
        <v>1684</v>
      </c>
      <c r="K575"/>
    </row>
    <row r="576" spans="1:11">
      <c r="A576" t="s">
        <v>828</v>
      </c>
      <c r="B576" t="s">
        <v>1688</v>
      </c>
      <c r="C576" t="s">
        <v>1667</v>
      </c>
      <c r="D576" t="s">
        <v>1677</v>
      </c>
      <c r="K576"/>
    </row>
    <row r="577" spans="1:11">
      <c r="A577" t="s">
        <v>829</v>
      </c>
      <c r="B577" t="s">
        <v>1688</v>
      </c>
      <c r="C577" t="s">
        <v>1667</v>
      </c>
      <c r="D577" t="s">
        <v>1677</v>
      </c>
      <c r="K577"/>
    </row>
    <row r="578" spans="1:11">
      <c r="A578" t="s">
        <v>826</v>
      </c>
      <c r="B578" t="s">
        <v>1688</v>
      </c>
      <c r="C578" t="s">
        <v>1667</v>
      </c>
      <c r="D578" t="s">
        <v>1671</v>
      </c>
      <c r="K578"/>
    </row>
    <row r="579" spans="1:11">
      <c r="A579" t="s">
        <v>827</v>
      </c>
      <c r="B579" t="s">
        <v>1688</v>
      </c>
      <c r="C579" t="s">
        <v>1667</v>
      </c>
      <c r="D579" t="s">
        <v>1671</v>
      </c>
      <c r="K579"/>
    </row>
    <row r="580" spans="1:11">
      <c r="A580" t="s">
        <v>834</v>
      </c>
      <c r="B580" t="s">
        <v>1688</v>
      </c>
      <c r="C580" t="s">
        <v>1666</v>
      </c>
      <c r="D580" t="s">
        <v>1670</v>
      </c>
      <c r="K580"/>
    </row>
    <row r="581" spans="1:11">
      <c r="A581" t="s">
        <v>824</v>
      </c>
      <c r="B581" t="s">
        <v>1688</v>
      </c>
      <c r="C581" t="s">
        <v>1667</v>
      </c>
      <c r="D581" t="s">
        <v>1679</v>
      </c>
      <c r="K581"/>
    </row>
    <row r="582" spans="1:11">
      <c r="A582" t="s">
        <v>837</v>
      </c>
      <c r="B582" t="s">
        <v>1688</v>
      </c>
      <c r="C582" t="s">
        <v>1667</v>
      </c>
      <c r="D582" t="s">
        <v>1672</v>
      </c>
      <c r="K582"/>
    </row>
    <row r="583" spans="1:11">
      <c r="A583" t="s">
        <v>838</v>
      </c>
      <c r="B583" t="s">
        <v>1688</v>
      </c>
      <c r="C583" t="s">
        <v>1667</v>
      </c>
      <c r="D583" t="s">
        <v>1674</v>
      </c>
      <c r="K583"/>
    </row>
    <row r="584" spans="1:11">
      <c r="A584" t="s">
        <v>845</v>
      </c>
      <c r="B584" t="s">
        <v>1688</v>
      </c>
      <c r="C584" t="s">
        <v>1667</v>
      </c>
      <c r="D584" t="s">
        <v>1671</v>
      </c>
      <c r="K584"/>
    </row>
    <row r="585" spans="1:11">
      <c r="A585" t="s">
        <v>847</v>
      </c>
      <c r="B585" t="s">
        <v>1688</v>
      </c>
      <c r="C585" t="s">
        <v>1667</v>
      </c>
      <c r="D585" t="s">
        <v>1673</v>
      </c>
      <c r="K585"/>
    </row>
    <row r="586" spans="1:11">
      <c r="A586" t="s">
        <v>846</v>
      </c>
      <c r="B586" t="s">
        <v>1688</v>
      </c>
      <c r="C586" t="s">
        <v>1667</v>
      </c>
      <c r="D586" t="s">
        <v>1675</v>
      </c>
      <c r="K586"/>
    </row>
    <row r="587" spans="1:11">
      <c r="A587" t="s">
        <v>848</v>
      </c>
      <c r="B587" t="s">
        <v>1688</v>
      </c>
      <c r="C587" t="s">
        <v>1667</v>
      </c>
      <c r="D587" t="s">
        <v>1676</v>
      </c>
      <c r="K587"/>
    </row>
    <row r="588" spans="1:11">
      <c r="A588" t="s">
        <v>835</v>
      </c>
      <c r="B588" t="s">
        <v>1688</v>
      </c>
      <c r="C588" t="s">
        <v>1667</v>
      </c>
      <c r="D588" t="s">
        <v>1678</v>
      </c>
      <c r="K588"/>
    </row>
    <row r="589" spans="1:11">
      <c r="A589" t="s">
        <v>840</v>
      </c>
      <c r="B589" t="s">
        <v>1688</v>
      </c>
      <c r="C589" t="s">
        <v>1667</v>
      </c>
      <c r="D589" t="s">
        <v>1683</v>
      </c>
      <c r="K589"/>
    </row>
    <row r="590" spans="1:11">
      <c r="A590" t="s">
        <v>836</v>
      </c>
      <c r="B590" t="s">
        <v>1688</v>
      </c>
      <c r="C590" t="s">
        <v>1667</v>
      </c>
      <c r="D590" t="s">
        <v>1684</v>
      </c>
      <c r="K590"/>
    </row>
    <row r="591" spans="1:11">
      <c r="A591" t="s">
        <v>843</v>
      </c>
      <c r="B591" t="s">
        <v>1688</v>
      </c>
      <c r="C591" t="s">
        <v>1667</v>
      </c>
      <c r="D591" t="s">
        <v>1677</v>
      </c>
      <c r="K591"/>
    </row>
    <row r="592" spans="1:11">
      <c r="A592" t="s">
        <v>844</v>
      </c>
      <c r="B592" t="s">
        <v>1688</v>
      </c>
      <c r="C592" t="s">
        <v>1667</v>
      </c>
      <c r="D592" t="s">
        <v>1677</v>
      </c>
      <c r="K592"/>
    </row>
    <row r="593" spans="1:11">
      <c r="A593" t="s">
        <v>841</v>
      </c>
      <c r="B593" t="s">
        <v>1688</v>
      </c>
      <c r="C593" t="s">
        <v>1667</v>
      </c>
      <c r="D593" t="s">
        <v>1671</v>
      </c>
      <c r="K593"/>
    </row>
    <row r="594" spans="1:11">
      <c r="A594" t="s">
        <v>842</v>
      </c>
      <c r="B594" t="s">
        <v>1688</v>
      </c>
      <c r="C594" t="s">
        <v>1667</v>
      </c>
      <c r="D594" t="s">
        <v>1671</v>
      </c>
      <c r="K594"/>
    </row>
    <row r="595" spans="1:11">
      <c r="A595" t="s">
        <v>849</v>
      </c>
      <c r="B595" t="s">
        <v>1688</v>
      </c>
      <c r="C595" t="s">
        <v>1666</v>
      </c>
      <c r="D595" t="s">
        <v>1670</v>
      </c>
      <c r="K595"/>
    </row>
    <row r="596" spans="1:11">
      <c r="A596" t="s">
        <v>839</v>
      </c>
      <c r="B596" t="s">
        <v>1688</v>
      </c>
      <c r="C596" t="s">
        <v>1667</v>
      </c>
      <c r="D596" t="s">
        <v>1679</v>
      </c>
      <c r="K596"/>
    </row>
    <row r="597" spans="1:11">
      <c r="A597" t="s">
        <v>864</v>
      </c>
      <c r="B597" t="s">
        <v>1688</v>
      </c>
      <c r="C597" t="s">
        <v>1667</v>
      </c>
      <c r="D597" t="s">
        <v>1691</v>
      </c>
      <c r="K597"/>
    </row>
    <row r="598" spans="1:11">
      <c r="A598" t="s">
        <v>865</v>
      </c>
      <c r="B598" t="s">
        <v>1688</v>
      </c>
      <c r="C598" t="s">
        <v>1667</v>
      </c>
      <c r="D598" t="s">
        <v>1691</v>
      </c>
      <c r="K598"/>
    </row>
    <row r="599" spans="1:11">
      <c r="A599" t="s">
        <v>605</v>
      </c>
      <c r="B599" t="s">
        <v>1688</v>
      </c>
      <c r="C599" t="s">
        <v>1661</v>
      </c>
      <c r="D599" t="s">
        <v>1671</v>
      </c>
      <c r="K599"/>
    </row>
    <row r="600" spans="1:11">
      <c r="A600" t="s">
        <v>59</v>
      </c>
      <c r="B600" t="s">
        <v>1688</v>
      </c>
      <c r="C600" t="s">
        <v>1661</v>
      </c>
      <c r="D600" t="s">
        <v>1671</v>
      </c>
      <c r="K600"/>
    </row>
    <row r="601" spans="1:11">
      <c r="A601" t="s">
        <v>30</v>
      </c>
      <c r="B601" t="s">
        <v>1688</v>
      </c>
      <c r="C601" t="s">
        <v>1661</v>
      </c>
      <c r="D601" t="s">
        <v>1671</v>
      </c>
      <c r="K601"/>
    </row>
    <row r="602" spans="1:11">
      <c r="A602" t="s">
        <v>52</v>
      </c>
      <c r="B602" t="s">
        <v>1688</v>
      </c>
      <c r="C602" t="s">
        <v>1661</v>
      </c>
      <c r="D602" t="s">
        <v>1671</v>
      </c>
      <c r="K602"/>
    </row>
    <row r="603" spans="1:11">
      <c r="A603" t="s">
        <v>47</v>
      </c>
      <c r="B603" t="s">
        <v>1688</v>
      </c>
      <c r="C603" t="s">
        <v>1661</v>
      </c>
      <c r="D603" t="s">
        <v>1671</v>
      </c>
      <c r="K603"/>
    </row>
    <row r="604" spans="1:11">
      <c r="A604" t="s">
        <v>34</v>
      </c>
      <c r="B604" t="s">
        <v>1688</v>
      </c>
      <c r="C604" t="s">
        <v>1661</v>
      </c>
      <c r="D604" t="s">
        <v>1671</v>
      </c>
      <c r="K604"/>
    </row>
    <row r="605" spans="1:11">
      <c r="A605" t="s">
        <v>42</v>
      </c>
      <c r="B605" t="s">
        <v>1688</v>
      </c>
      <c r="C605" t="s">
        <v>1661</v>
      </c>
      <c r="D605" t="s">
        <v>1671</v>
      </c>
      <c r="K605"/>
    </row>
    <row r="606" spans="1:11">
      <c r="A606" t="s">
        <v>61</v>
      </c>
      <c r="B606" t="s">
        <v>1688</v>
      </c>
      <c r="C606" t="s">
        <v>1661</v>
      </c>
      <c r="D606" t="s">
        <v>1671</v>
      </c>
      <c r="K606"/>
    </row>
    <row r="607" spans="1:11">
      <c r="A607" t="s">
        <v>62</v>
      </c>
      <c r="B607" t="s">
        <v>1688</v>
      </c>
      <c r="C607" t="s">
        <v>1661</v>
      </c>
      <c r="D607" t="s">
        <v>1671</v>
      </c>
      <c r="K607"/>
    </row>
    <row r="608" spans="1:11">
      <c r="A608" t="s">
        <v>604</v>
      </c>
      <c r="B608" t="s">
        <v>1688</v>
      </c>
      <c r="C608" t="s">
        <v>1661</v>
      </c>
      <c r="D608" t="s">
        <v>1671</v>
      </c>
      <c r="K608"/>
    </row>
    <row r="609" spans="1:11">
      <c r="A609" t="s">
        <v>44</v>
      </c>
      <c r="B609" t="s">
        <v>1688</v>
      </c>
      <c r="C609" t="s">
        <v>1661</v>
      </c>
      <c r="D609" t="s">
        <v>1671</v>
      </c>
      <c r="K609"/>
    </row>
    <row r="610" spans="1:11">
      <c r="A610" t="s">
        <v>67</v>
      </c>
      <c r="B610" t="s">
        <v>1688</v>
      </c>
      <c r="C610" t="s">
        <v>1661</v>
      </c>
      <c r="D610" t="s">
        <v>1671</v>
      </c>
      <c r="K610"/>
    </row>
    <row r="611" spans="1:11">
      <c r="A611" t="s">
        <v>53</v>
      </c>
      <c r="B611" t="s">
        <v>1688</v>
      </c>
      <c r="C611" t="s">
        <v>1661</v>
      </c>
      <c r="D611" t="s">
        <v>1671</v>
      </c>
      <c r="K611"/>
    </row>
    <row r="612" spans="1:11">
      <c r="A612" t="s">
        <v>57</v>
      </c>
      <c r="B612" t="s">
        <v>1688</v>
      </c>
      <c r="C612" t="s">
        <v>1661</v>
      </c>
      <c r="D612" t="s">
        <v>1671</v>
      </c>
      <c r="K612"/>
    </row>
    <row r="613" spans="1:11">
      <c r="A613" t="s">
        <v>55</v>
      </c>
      <c r="B613" t="s">
        <v>1688</v>
      </c>
      <c r="C613" t="s">
        <v>1661</v>
      </c>
      <c r="D613" t="s">
        <v>1671</v>
      </c>
      <c r="K613"/>
    </row>
    <row r="614" spans="1:11">
      <c r="A614" t="s">
        <v>606</v>
      </c>
      <c r="B614" t="s">
        <v>1688</v>
      </c>
      <c r="C614" t="s">
        <v>1661</v>
      </c>
      <c r="D614" t="s">
        <v>1671</v>
      </c>
      <c r="K614"/>
    </row>
    <row r="615" spans="1:11">
      <c r="A615" t="s">
        <v>66</v>
      </c>
      <c r="B615" t="s">
        <v>1688</v>
      </c>
      <c r="C615" t="s">
        <v>1661</v>
      </c>
      <c r="D615" t="s">
        <v>1671</v>
      </c>
      <c r="K615"/>
    </row>
    <row r="616" spans="1:11">
      <c r="A616" t="s">
        <v>658</v>
      </c>
      <c r="B616" t="s">
        <v>1688</v>
      </c>
      <c r="C616" t="s">
        <v>1661</v>
      </c>
      <c r="D616" t="s">
        <v>1671</v>
      </c>
      <c r="K616"/>
    </row>
    <row r="617" spans="1:11">
      <c r="A617" t="s">
        <v>51</v>
      </c>
      <c r="B617" t="s">
        <v>1688</v>
      </c>
      <c r="C617" t="s">
        <v>1661</v>
      </c>
      <c r="D617" t="s">
        <v>1671</v>
      </c>
      <c r="K617"/>
    </row>
    <row r="618" spans="1:11">
      <c r="A618" t="s">
        <v>45</v>
      </c>
      <c r="B618" t="s">
        <v>1688</v>
      </c>
      <c r="C618" t="s">
        <v>1661</v>
      </c>
      <c r="D618" t="s">
        <v>1671</v>
      </c>
      <c r="K618"/>
    </row>
    <row r="619" spans="1:11">
      <c r="A619" t="s">
        <v>32</v>
      </c>
      <c r="B619" t="s">
        <v>1688</v>
      </c>
      <c r="C619" t="s">
        <v>1661</v>
      </c>
      <c r="D619" t="s">
        <v>1671</v>
      </c>
      <c r="K619"/>
    </row>
    <row r="620" spans="1:11">
      <c r="A620" t="s">
        <v>38</v>
      </c>
      <c r="B620" t="s">
        <v>1688</v>
      </c>
      <c r="C620" t="s">
        <v>1661</v>
      </c>
      <c r="D620" t="s">
        <v>1671</v>
      </c>
      <c r="K620"/>
    </row>
    <row r="621" spans="1:11">
      <c r="A621" t="s">
        <v>39</v>
      </c>
      <c r="B621" t="s">
        <v>1688</v>
      </c>
      <c r="C621" t="s">
        <v>1661</v>
      </c>
      <c r="D621" t="s">
        <v>1671</v>
      </c>
      <c r="K621"/>
    </row>
    <row r="622" spans="1:11">
      <c r="A622" t="s">
        <v>49</v>
      </c>
      <c r="B622" t="s">
        <v>1688</v>
      </c>
      <c r="C622" t="s">
        <v>1664</v>
      </c>
      <c r="D622" t="s">
        <v>1670</v>
      </c>
      <c r="K622"/>
    </row>
    <row r="623" spans="1:11">
      <c r="A623" t="s">
        <v>54</v>
      </c>
      <c r="B623" t="s">
        <v>1688</v>
      </c>
      <c r="C623" t="s">
        <v>1668</v>
      </c>
      <c r="D623" t="s">
        <v>1671</v>
      </c>
      <c r="K623"/>
    </row>
    <row r="624" spans="1:11">
      <c r="A624" t="s">
        <v>63</v>
      </c>
      <c r="B624" t="s">
        <v>1688</v>
      </c>
      <c r="C624" t="s">
        <v>1661</v>
      </c>
      <c r="D624" t="s">
        <v>1671</v>
      </c>
      <c r="K624"/>
    </row>
    <row r="625" spans="1:11">
      <c r="A625" t="s">
        <v>68</v>
      </c>
      <c r="B625" t="s">
        <v>1688</v>
      </c>
      <c r="C625" t="s">
        <v>1661</v>
      </c>
      <c r="D625" t="s">
        <v>1671</v>
      </c>
      <c r="K625"/>
    </row>
    <row r="626" spans="1:11">
      <c r="A626" t="s">
        <v>603</v>
      </c>
      <c r="B626" t="s">
        <v>1688</v>
      </c>
      <c r="C626" t="s">
        <v>1661</v>
      </c>
      <c r="D626" t="s">
        <v>1671</v>
      </c>
      <c r="K626"/>
    </row>
    <row r="627" spans="1:11">
      <c r="A627" t="s">
        <v>602</v>
      </c>
      <c r="B627" t="s">
        <v>1688</v>
      </c>
      <c r="C627" t="s">
        <v>1661</v>
      </c>
      <c r="D627" t="s">
        <v>1671</v>
      </c>
      <c r="K627"/>
    </row>
    <row r="628" spans="1:11">
      <c r="A628" t="s">
        <v>46</v>
      </c>
      <c r="B628" t="s">
        <v>1688</v>
      </c>
      <c r="C628" t="s">
        <v>1661</v>
      </c>
      <c r="D628" t="s">
        <v>1671</v>
      </c>
      <c r="K628"/>
    </row>
    <row r="629" spans="1:11">
      <c r="A629" t="s">
        <v>40</v>
      </c>
      <c r="B629" t="s">
        <v>1688</v>
      </c>
      <c r="C629" t="s">
        <v>1661</v>
      </c>
      <c r="D629" t="s">
        <v>1671</v>
      </c>
      <c r="K629"/>
    </row>
    <row r="630" spans="1:11">
      <c r="A630" t="s">
        <v>41</v>
      </c>
      <c r="B630" t="s">
        <v>1688</v>
      </c>
      <c r="C630" t="s">
        <v>1661</v>
      </c>
      <c r="D630" t="s">
        <v>1671</v>
      </c>
      <c r="K630"/>
    </row>
    <row r="631" spans="1:11">
      <c r="A631" t="s">
        <v>58</v>
      </c>
      <c r="B631" t="s">
        <v>1688</v>
      </c>
      <c r="C631" t="s">
        <v>1661</v>
      </c>
      <c r="D631" t="s">
        <v>1671</v>
      </c>
      <c r="K631"/>
    </row>
    <row r="632" spans="1:11">
      <c r="A632" t="s">
        <v>35</v>
      </c>
      <c r="B632" t="s">
        <v>1688</v>
      </c>
      <c r="C632" t="s">
        <v>1661</v>
      </c>
      <c r="D632" t="s">
        <v>1671</v>
      </c>
      <c r="K632"/>
    </row>
    <row r="633" spans="1:11">
      <c r="A633" t="s">
        <v>56</v>
      </c>
      <c r="B633" t="s">
        <v>1688</v>
      </c>
      <c r="C633" t="s">
        <v>1661</v>
      </c>
      <c r="D633" t="s">
        <v>1671</v>
      </c>
      <c r="K633"/>
    </row>
    <row r="634" spans="1:11">
      <c r="A634" t="s">
        <v>36</v>
      </c>
      <c r="B634" t="s">
        <v>1688</v>
      </c>
      <c r="C634" t="s">
        <v>1661</v>
      </c>
      <c r="D634" t="s">
        <v>1671</v>
      </c>
      <c r="K634"/>
    </row>
    <row r="635" spans="1:11">
      <c r="A635" t="s">
        <v>60</v>
      </c>
      <c r="B635" t="s">
        <v>1688</v>
      </c>
      <c r="C635" t="s">
        <v>1661</v>
      </c>
      <c r="D635" t="s">
        <v>1671</v>
      </c>
      <c r="K635"/>
    </row>
    <row r="636" spans="1:11">
      <c r="A636" t="s">
        <v>659</v>
      </c>
      <c r="B636" t="s">
        <v>1688</v>
      </c>
      <c r="C636" t="s">
        <v>1661</v>
      </c>
      <c r="D636" t="s">
        <v>1671</v>
      </c>
      <c r="K636"/>
    </row>
    <row r="637" spans="1:11">
      <c r="A637" t="s">
        <v>64</v>
      </c>
      <c r="B637" t="s">
        <v>1688</v>
      </c>
      <c r="C637" t="s">
        <v>1661</v>
      </c>
      <c r="D637" t="s">
        <v>1671</v>
      </c>
      <c r="K637"/>
    </row>
    <row r="638" spans="1:11">
      <c r="A638" t="s">
        <v>50</v>
      </c>
      <c r="B638" t="s">
        <v>1688</v>
      </c>
      <c r="C638" t="s">
        <v>1661</v>
      </c>
      <c r="D638" t="s">
        <v>1671</v>
      </c>
      <c r="K638"/>
    </row>
    <row r="639" spans="1:11">
      <c r="A639" t="s">
        <v>43</v>
      </c>
      <c r="B639" t="s">
        <v>1688</v>
      </c>
      <c r="C639" t="s">
        <v>1661</v>
      </c>
      <c r="D639" t="s">
        <v>1671</v>
      </c>
      <c r="K639"/>
    </row>
    <row r="640" spans="1:11">
      <c r="A640" t="s">
        <v>33</v>
      </c>
      <c r="B640" t="s">
        <v>1688</v>
      </c>
      <c r="C640" t="s">
        <v>1661</v>
      </c>
      <c r="D640" t="s">
        <v>1671</v>
      </c>
      <c r="K640"/>
    </row>
    <row r="641" spans="1:11">
      <c r="A641" t="s">
        <v>37</v>
      </c>
      <c r="B641" t="s">
        <v>1688</v>
      </c>
      <c r="C641" t="s">
        <v>1661</v>
      </c>
      <c r="D641" t="s">
        <v>1671</v>
      </c>
      <c r="K641"/>
    </row>
    <row r="642" spans="1:11">
      <c r="A642" t="s">
        <v>65</v>
      </c>
      <c r="B642" t="s">
        <v>1688</v>
      </c>
      <c r="C642" t="s">
        <v>1661</v>
      </c>
      <c r="D642" t="s">
        <v>1671</v>
      </c>
      <c r="K642"/>
    </row>
    <row r="643" spans="1:11">
      <c r="A643" t="s">
        <v>48</v>
      </c>
      <c r="B643" t="s">
        <v>1688</v>
      </c>
      <c r="C643" t="s">
        <v>1661</v>
      </c>
      <c r="D643" t="s">
        <v>1671</v>
      </c>
      <c r="K643"/>
    </row>
    <row r="644" spans="1:11">
      <c r="A644" t="s">
        <v>81</v>
      </c>
      <c r="B644" t="s">
        <v>1688</v>
      </c>
      <c r="C644" t="s">
        <v>1661</v>
      </c>
      <c r="D644" t="s">
        <v>1671</v>
      </c>
      <c r="K644"/>
    </row>
    <row r="645" spans="1:11">
      <c r="A645" t="s">
        <v>80</v>
      </c>
      <c r="B645" t="s">
        <v>1688</v>
      </c>
      <c r="C645" t="s">
        <v>1661</v>
      </c>
      <c r="D645" t="s">
        <v>1671</v>
      </c>
      <c r="K645"/>
    </row>
    <row r="646" spans="1:11">
      <c r="A646" t="s">
        <v>69</v>
      </c>
      <c r="B646" t="s">
        <v>1688</v>
      </c>
      <c r="C646" t="s">
        <v>1661</v>
      </c>
      <c r="D646" t="s">
        <v>1671</v>
      </c>
      <c r="K646"/>
    </row>
    <row r="647" spans="1:11">
      <c r="A647" t="s">
        <v>71</v>
      </c>
      <c r="B647" t="s">
        <v>1688</v>
      </c>
      <c r="C647" t="s">
        <v>1661</v>
      </c>
      <c r="D647" t="s">
        <v>1671</v>
      </c>
      <c r="K647"/>
    </row>
    <row r="648" spans="1:11">
      <c r="A648" t="s">
        <v>72</v>
      </c>
      <c r="B648" t="s">
        <v>1688</v>
      </c>
      <c r="C648" t="s">
        <v>1661</v>
      </c>
      <c r="D648" t="s">
        <v>1671</v>
      </c>
      <c r="K648"/>
    </row>
    <row r="649" spans="1:11">
      <c r="A649" t="s">
        <v>73</v>
      </c>
      <c r="B649" t="s">
        <v>1688</v>
      </c>
      <c r="C649" t="s">
        <v>1661</v>
      </c>
      <c r="D649" t="s">
        <v>1671</v>
      </c>
      <c r="K649"/>
    </row>
    <row r="650" spans="1:11">
      <c r="A650" t="s">
        <v>82</v>
      </c>
      <c r="B650" t="s">
        <v>1688</v>
      </c>
      <c r="C650" t="s">
        <v>1661</v>
      </c>
      <c r="D650" t="s">
        <v>1671</v>
      </c>
      <c r="K650"/>
    </row>
    <row r="651" spans="1:11">
      <c r="A651" t="s">
        <v>76</v>
      </c>
      <c r="B651" t="s">
        <v>1688</v>
      </c>
      <c r="C651" t="s">
        <v>1661</v>
      </c>
      <c r="D651" t="s">
        <v>1671</v>
      </c>
      <c r="K651"/>
    </row>
    <row r="652" spans="1:11">
      <c r="A652" t="s">
        <v>75</v>
      </c>
      <c r="B652" t="s">
        <v>1688</v>
      </c>
      <c r="C652" t="s">
        <v>1661</v>
      </c>
      <c r="D652" t="s">
        <v>1671</v>
      </c>
      <c r="K652"/>
    </row>
    <row r="653" spans="1:11">
      <c r="A653" t="s">
        <v>77</v>
      </c>
      <c r="B653" t="s">
        <v>1688</v>
      </c>
      <c r="C653" t="s">
        <v>1661</v>
      </c>
      <c r="D653" t="s">
        <v>1671</v>
      </c>
      <c r="K653"/>
    </row>
    <row r="654" spans="1:11">
      <c r="A654" t="s">
        <v>611</v>
      </c>
      <c r="B654" t="s">
        <v>1688</v>
      </c>
      <c r="C654" t="s">
        <v>1661</v>
      </c>
      <c r="D654" t="s">
        <v>1671</v>
      </c>
      <c r="K654"/>
    </row>
    <row r="655" spans="1:11">
      <c r="A655" t="s">
        <v>78</v>
      </c>
      <c r="B655" t="s">
        <v>1688</v>
      </c>
      <c r="C655" t="s">
        <v>1661</v>
      </c>
      <c r="D655" t="s">
        <v>1671</v>
      </c>
      <c r="K655"/>
    </row>
    <row r="656" spans="1:11">
      <c r="A656" t="s">
        <v>79</v>
      </c>
      <c r="B656" t="s">
        <v>1688</v>
      </c>
      <c r="C656" t="s">
        <v>1661</v>
      </c>
      <c r="D656" t="s">
        <v>1671</v>
      </c>
      <c r="K656"/>
    </row>
    <row r="657" spans="1:11">
      <c r="A657" t="s">
        <v>74</v>
      </c>
      <c r="B657" t="s">
        <v>1688</v>
      </c>
      <c r="C657" t="s">
        <v>1661</v>
      </c>
      <c r="D657" t="s">
        <v>1671</v>
      </c>
      <c r="K657"/>
    </row>
    <row r="658" spans="1:11">
      <c r="A658" t="s">
        <v>610</v>
      </c>
      <c r="B658" t="s">
        <v>1688</v>
      </c>
      <c r="C658" t="s">
        <v>1661</v>
      </c>
      <c r="D658" t="s">
        <v>1671</v>
      </c>
      <c r="K658"/>
    </row>
    <row r="659" spans="1:11">
      <c r="A659" t="s">
        <v>83</v>
      </c>
      <c r="B659" t="s">
        <v>1688</v>
      </c>
      <c r="C659" t="s">
        <v>1661</v>
      </c>
      <c r="D659" t="s">
        <v>1671</v>
      </c>
      <c r="K659"/>
    </row>
    <row r="660" spans="1:11">
      <c r="A660" t="s">
        <v>607</v>
      </c>
      <c r="B660" t="s">
        <v>1688</v>
      </c>
      <c r="C660" t="s">
        <v>1661</v>
      </c>
      <c r="D660" t="s">
        <v>1671</v>
      </c>
      <c r="K660"/>
    </row>
    <row r="661" spans="1:11">
      <c r="A661" t="s">
        <v>609</v>
      </c>
      <c r="B661" t="s">
        <v>1688</v>
      </c>
      <c r="C661" t="s">
        <v>1661</v>
      </c>
      <c r="D661" t="s">
        <v>1671</v>
      </c>
      <c r="K661"/>
    </row>
    <row r="662" spans="1:11">
      <c r="A662" t="s">
        <v>608</v>
      </c>
      <c r="B662" t="s">
        <v>1688</v>
      </c>
      <c r="C662" t="s">
        <v>1661</v>
      </c>
      <c r="D662" t="s">
        <v>1671</v>
      </c>
      <c r="K662"/>
    </row>
    <row r="663" spans="1:11">
      <c r="A663" t="s">
        <v>84</v>
      </c>
      <c r="B663" t="s">
        <v>1688</v>
      </c>
      <c r="C663" t="s">
        <v>1661</v>
      </c>
      <c r="D663" t="s">
        <v>1671</v>
      </c>
      <c r="K663"/>
    </row>
    <row r="664" spans="1:11">
      <c r="A664" t="s">
        <v>85</v>
      </c>
      <c r="B664" t="s">
        <v>1688</v>
      </c>
      <c r="C664" t="s">
        <v>1661</v>
      </c>
      <c r="D664" t="s">
        <v>1671</v>
      </c>
      <c r="K664"/>
    </row>
    <row r="665" spans="1:11">
      <c r="A665" t="s">
        <v>589</v>
      </c>
      <c r="B665" t="s">
        <v>1688</v>
      </c>
      <c r="C665" t="s">
        <v>1664</v>
      </c>
      <c r="D665" t="s">
        <v>1671</v>
      </c>
      <c r="K665"/>
    </row>
    <row r="666" spans="1:11">
      <c r="A666" t="s">
        <v>27</v>
      </c>
      <c r="B666" t="s">
        <v>1688</v>
      </c>
      <c r="C666" t="s">
        <v>1668</v>
      </c>
      <c r="D666" t="s">
        <v>1671</v>
      </c>
      <c r="K666"/>
    </row>
    <row r="667" spans="1:11">
      <c r="A667" t="s">
        <v>23</v>
      </c>
      <c r="B667" t="s">
        <v>1688</v>
      </c>
      <c r="C667" t="s">
        <v>1668</v>
      </c>
      <c r="D667" t="s">
        <v>1671</v>
      </c>
      <c r="K667"/>
    </row>
    <row r="668" spans="1:11">
      <c r="A668" t="s">
        <v>28</v>
      </c>
      <c r="B668" t="s">
        <v>1688</v>
      </c>
      <c r="C668" t="s">
        <v>1668</v>
      </c>
      <c r="D668" t="s">
        <v>1671</v>
      </c>
      <c r="K668"/>
    </row>
    <row r="669" spans="1:11">
      <c r="A669" t="s">
        <v>20</v>
      </c>
      <c r="B669" t="s">
        <v>1688</v>
      </c>
      <c r="C669" t="s">
        <v>1661</v>
      </c>
      <c r="D669" t="s">
        <v>1671</v>
      </c>
      <c r="K669"/>
    </row>
    <row r="670" spans="1:11">
      <c r="A670" t="s">
        <v>25</v>
      </c>
      <c r="B670" t="s">
        <v>1688</v>
      </c>
      <c r="C670" t="s">
        <v>1661</v>
      </c>
      <c r="D670" t="s">
        <v>1671</v>
      </c>
      <c r="K670"/>
    </row>
    <row r="671" spans="1:11">
      <c r="A671" t="s">
        <v>22</v>
      </c>
      <c r="B671" t="s">
        <v>1688</v>
      </c>
      <c r="C671" t="s">
        <v>1668</v>
      </c>
      <c r="D671" t="s">
        <v>1671</v>
      </c>
      <c r="K671"/>
    </row>
    <row r="672" spans="1:11">
      <c r="A672" t="s">
        <v>26</v>
      </c>
      <c r="B672" t="s">
        <v>1688</v>
      </c>
      <c r="C672" t="s">
        <v>1663</v>
      </c>
      <c r="D672" t="s">
        <v>1671</v>
      </c>
      <c r="K672"/>
    </row>
    <row r="673" spans="1:11">
      <c r="A673" t="s">
        <v>24</v>
      </c>
      <c r="B673" t="s">
        <v>1688</v>
      </c>
      <c r="C673" t="s">
        <v>1668</v>
      </c>
      <c r="D673" t="s">
        <v>1671</v>
      </c>
      <c r="K673"/>
    </row>
    <row r="674" spans="1:11">
      <c r="A674" t="s">
        <v>588</v>
      </c>
      <c r="B674" t="s">
        <v>1688</v>
      </c>
      <c r="C674" t="s">
        <v>1661</v>
      </c>
      <c r="D674" t="s">
        <v>1674</v>
      </c>
      <c r="K674"/>
    </row>
    <row r="675" spans="1:11">
      <c r="A675" t="s">
        <v>586</v>
      </c>
      <c r="B675" t="s">
        <v>1688</v>
      </c>
      <c r="C675" t="s">
        <v>1661</v>
      </c>
      <c r="D675" t="s">
        <v>1674</v>
      </c>
      <c r="K675"/>
    </row>
    <row r="676" spans="1:11">
      <c r="A676" t="s">
        <v>585</v>
      </c>
      <c r="B676" t="s">
        <v>1688</v>
      </c>
      <c r="C676" t="s">
        <v>1661</v>
      </c>
      <c r="D676" t="s">
        <v>1674</v>
      </c>
      <c r="K676"/>
    </row>
    <row r="677" spans="1:11">
      <c r="A677" t="s">
        <v>587</v>
      </c>
      <c r="B677" t="s">
        <v>1688</v>
      </c>
      <c r="C677" t="s">
        <v>1661</v>
      </c>
      <c r="D677" t="s">
        <v>1673</v>
      </c>
      <c r="K677"/>
    </row>
    <row r="678" spans="1:11">
      <c r="A678" t="s">
        <v>175</v>
      </c>
      <c r="B678" t="s">
        <v>1688</v>
      </c>
      <c r="C678" t="s">
        <v>1668</v>
      </c>
      <c r="D678" t="s">
        <v>1673</v>
      </c>
      <c r="K678"/>
    </row>
    <row r="679" spans="1:11">
      <c r="A679" t="s">
        <v>138</v>
      </c>
      <c r="B679" t="s">
        <v>1688</v>
      </c>
      <c r="C679" t="s">
        <v>1668</v>
      </c>
      <c r="D679" t="s">
        <v>1670</v>
      </c>
      <c r="K679"/>
    </row>
    <row r="680" spans="1:11">
      <c r="A680" t="s">
        <v>157</v>
      </c>
      <c r="B680" t="s">
        <v>1688</v>
      </c>
      <c r="C680" t="s">
        <v>1668</v>
      </c>
      <c r="D680" t="s">
        <v>1670</v>
      </c>
      <c r="K680"/>
    </row>
    <row r="681" spans="1:11">
      <c r="A681" t="s">
        <v>187</v>
      </c>
      <c r="B681" t="s">
        <v>1688</v>
      </c>
      <c r="C681" t="s">
        <v>1668</v>
      </c>
      <c r="D681" t="s">
        <v>1672</v>
      </c>
      <c r="K681"/>
    </row>
    <row r="682" spans="1:11">
      <c r="A682" t="s">
        <v>100</v>
      </c>
      <c r="B682" t="s">
        <v>1688</v>
      </c>
      <c r="C682" t="s">
        <v>1668</v>
      </c>
      <c r="D682" t="s">
        <v>1670</v>
      </c>
      <c r="K682"/>
    </row>
    <row r="683" spans="1:11">
      <c r="A683" t="s">
        <v>155</v>
      </c>
      <c r="B683" t="s">
        <v>1688</v>
      </c>
      <c r="C683" t="s">
        <v>1662</v>
      </c>
      <c r="D683" t="s">
        <v>1672</v>
      </c>
      <c r="K683"/>
    </row>
    <row r="684" spans="1:11">
      <c r="A684" t="s">
        <v>188</v>
      </c>
      <c r="B684" t="s">
        <v>1688</v>
      </c>
      <c r="C684" t="s">
        <v>1668</v>
      </c>
      <c r="D684" t="s">
        <v>1670</v>
      </c>
      <c r="K684"/>
    </row>
    <row r="685" spans="1:11">
      <c r="A685" t="s">
        <v>153</v>
      </c>
      <c r="B685" t="s">
        <v>1688</v>
      </c>
      <c r="C685" t="s">
        <v>1668</v>
      </c>
      <c r="D685" t="s">
        <v>1670</v>
      </c>
      <c r="K685"/>
    </row>
    <row r="686" spans="1:11">
      <c r="A686" t="s">
        <v>128</v>
      </c>
      <c r="B686" t="s">
        <v>1688</v>
      </c>
      <c r="C686" t="s">
        <v>1668</v>
      </c>
      <c r="D686" t="s">
        <v>1670</v>
      </c>
      <c r="K686"/>
    </row>
    <row r="687" spans="1:11">
      <c r="A687" t="s">
        <v>124</v>
      </c>
      <c r="B687" t="s">
        <v>1688</v>
      </c>
      <c r="C687" t="s">
        <v>1668</v>
      </c>
      <c r="D687" t="s">
        <v>1670</v>
      </c>
      <c r="K687"/>
    </row>
    <row r="688" spans="1:11">
      <c r="A688" t="s">
        <v>154</v>
      </c>
      <c r="B688" t="s">
        <v>1688</v>
      </c>
      <c r="C688" t="s">
        <v>1668</v>
      </c>
      <c r="D688" t="s">
        <v>1670</v>
      </c>
      <c r="K688"/>
    </row>
    <row r="689" spans="1:11">
      <c r="A689" t="s">
        <v>149</v>
      </c>
      <c r="B689" t="s">
        <v>1688</v>
      </c>
      <c r="C689" t="s">
        <v>1668</v>
      </c>
      <c r="D689" t="s">
        <v>1670</v>
      </c>
      <c r="K689"/>
    </row>
    <row r="690" spans="1:11">
      <c r="A690" t="s">
        <v>96</v>
      </c>
      <c r="B690" t="s">
        <v>1688</v>
      </c>
      <c r="C690" t="s">
        <v>1668</v>
      </c>
      <c r="D690" t="s">
        <v>1672</v>
      </c>
      <c r="K690"/>
    </row>
    <row r="691" spans="1:11">
      <c r="A691" t="s">
        <v>183</v>
      </c>
      <c r="B691" t="s">
        <v>1688</v>
      </c>
      <c r="C691" t="s">
        <v>1668</v>
      </c>
      <c r="D691" t="s">
        <v>1670</v>
      </c>
      <c r="K691"/>
    </row>
    <row r="692" spans="1:11">
      <c r="A692" t="s">
        <v>92</v>
      </c>
      <c r="B692" t="s">
        <v>1688</v>
      </c>
      <c r="C692" t="s">
        <v>1668</v>
      </c>
      <c r="D692" t="s">
        <v>1672</v>
      </c>
      <c r="K692"/>
    </row>
    <row r="693" spans="1:11">
      <c r="A693" t="s">
        <v>86</v>
      </c>
      <c r="B693" t="s">
        <v>1688</v>
      </c>
      <c r="C693" t="s">
        <v>1668</v>
      </c>
      <c r="D693" t="s">
        <v>1672</v>
      </c>
      <c r="K693"/>
    </row>
    <row r="694" spans="1:11">
      <c r="A694" t="s">
        <v>189</v>
      </c>
      <c r="B694" t="s">
        <v>1688</v>
      </c>
      <c r="C694" t="s">
        <v>1668</v>
      </c>
      <c r="D694" t="s">
        <v>1670</v>
      </c>
      <c r="K694"/>
    </row>
    <row r="695" spans="1:11">
      <c r="A695" t="s">
        <v>141</v>
      </c>
      <c r="B695" t="s">
        <v>1688</v>
      </c>
      <c r="C695" t="s">
        <v>1668</v>
      </c>
      <c r="D695" t="s">
        <v>1670</v>
      </c>
      <c r="K695"/>
    </row>
    <row r="696" spans="1:11">
      <c r="A696" t="s">
        <v>129</v>
      </c>
      <c r="B696" t="s">
        <v>1688</v>
      </c>
      <c r="C696" t="s">
        <v>1668</v>
      </c>
      <c r="D696" t="s">
        <v>1670</v>
      </c>
      <c r="K696"/>
    </row>
    <row r="697" spans="1:11">
      <c r="A697" t="s">
        <v>144</v>
      </c>
      <c r="B697" t="s">
        <v>1688</v>
      </c>
      <c r="C697" t="s">
        <v>1668</v>
      </c>
      <c r="D697" t="s">
        <v>1670</v>
      </c>
      <c r="K697"/>
    </row>
    <row r="698" spans="1:11">
      <c r="A698" t="s">
        <v>111</v>
      </c>
      <c r="B698" t="s">
        <v>1688</v>
      </c>
      <c r="C698" t="s">
        <v>1668</v>
      </c>
      <c r="D698" t="s">
        <v>1670</v>
      </c>
      <c r="K698"/>
    </row>
    <row r="699" spans="1:11">
      <c r="A699" t="s">
        <v>190</v>
      </c>
      <c r="B699" t="s">
        <v>1688</v>
      </c>
      <c r="C699" t="s">
        <v>1668</v>
      </c>
      <c r="D699" t="s">
        <v>1670</v>
      </c>
      <c r="K699"/>
    </row>
    <row r="700" spans="1:11">
      <c r="A700" t="s">
        <v>168</v>
      </c>
      <c r="B700" t="s">
        <v>1688</v>
      </c>
      <c r="C700" t="s">
        <v>1668</v>
      </c>
      <c r="D700" t="s">
        <v>1670</v>
      </c>
      <c r="K700"/>
    </row>
    <row r="701" spans="1:11">
      <c r="A701" t="s">
        <v>191</v>
      </c>
      <c r="B701" t="s">
        <v>1688</v>
      </c>
      <c r="C701" t="s">
        <v>1668</v>
      </c>
      <c r="D701" t="s">
        <v>1670</v>
      </c>
      <c r="K701"/>
    </row>
    <row r="702" spans="1:11">
      <c r="A702" t="s">
        <v>179</v>
      </c>
      <c r="B702" t="s">
        <v>1688</v>
      </c>
      <c r="C702" t="s">
        <v>1668</v>
      </c>
      <c r="D702" t="s">
        <v>1670</v>
      </c>
      <c r="K702"/>
    </row>
    <row r="703" spans="1:11">
      <c r="A703" t="s">
        <v>98</v>
      </c>
      <c r="B703" t="s">
        <v>1688</v>
      </c>
      <c r="C703" t="s">
        <v>1668</v>
      </c>
      <c r="D703" t="s">
        <v>1672</v>
      </c>
      <c r="K703"/>
    </row>
    <row r="704" spans="1:11">
      <c r="A704" t="s">
        <v>181</v>
      </c>
      <c r="B704" t="s">
        <v>1688</v>
      </c>
      <c r="C704" t="s">
        <v>1668</v>
      </c>
      <c r="D704" t="s">
        <v>1670</v>
      </c>
      <c r="K704"/>
    </row>
    <row r="705" spans="1:11">
      <c r="A705" t="s">
        <v>177</v>
      </c>
      <c r="B705" t="s">
        <v>1688</v>
      </c>
      <c r="C705" t="s">
        <v>1668</v>
      </c>
      <c r="D705" t="s">
        <v>1670</v>
      </c>
      <c r="K705"/>
    </row>
    <row r="706" spans="1:11">
      <c r="A706" t="s">
        <v>112</v>
      </c>
      <c r="B706" t="s">
        <v>1688</v>
      </c>
      <c r="C706" t="s">
        <v>1668</v>
      </c>
      <c r="D706" t="s">
        <v>1670</v>
      </c>
      <c r="K706"/>
    </row>
    <row r="707" spans="1:11">
      <c r="A707" t="s">
        <v>147</v>
      </c>
      <c r="B707" t="s">
        <v>1688</v>
      </c>
      <c r="C707" t="s">
        <v>1668</v>
      </c>
      <c r="D707" t="s">
        <v>1672</v>
      </c>
      <c r="K707"/>
    </row>
    <row r="708" spans="1:11">
      <c r="A708" t="s">
        <v>160</v>
      </c>
      <c r="B708" t="s">
        <v>1688</v>
      </c>
      <c r="C708" t="s">
        <v>1668</v>
      </c>
      <c r="D708" t="s">
        <v>1673</v>
      </c>
      <c r="K708"/>
    </row>
    <row r="709" spans="1:11">
      <c r="A709" t="s">
        <v>101</v>
      </c>
      <c r="B709" t="s">
        <v>1688</v>
      </c>
      <c r="C709" t="s">
        <v>1668</v>
      </c>
      <c r="D709" t="s">
        <v>1670</v>
      </c>
      <c r="K709"/>
    </row>
    <row r="710" spans="1:11">
      <c r="A710" t="s">
        <v>102</v>
      </c>
      <c r="B710" t="s">
        <v>1688</v>
      </c>
      <c r="C710" t="s">
        <v>1668</v>
      </c>
      <c r="D710" t="s">
        <v>1672</v>
      </c>
      <c r="K710"/>
    </row>
    <row r="711" spans="1:11">
      <c r="A711" t="s">
        <v>117</v>
      </c>
      <c r="B711" t="s">
        <v>1688</v>
      </c>
      <c r="C711" t="s">
        <v>1668</v>
      </c>
      <c r="D711" t="s">
        <v>1670</v>
      </c>
      <c r="K711"/>
    </row>
    <row r="712" spans="1:11">
      <c r="A712" t="s">
        <v>151</v>
      </c>
      <c r="B712" t="s">
        <v>1688</v>
      </c>
      <c r="C712" t="s">
        <v>1668</v>
      </c>
      <c r="D712" t="s">
        <v>1670</v>
      </c>
      <c r="K712"/>
    </row>
    <row r="713" spans="1:11">
      <c r="A713" t="s">
        <v>113</v>
      </c>
      <c r="B713" t="s">
        <v>1688</v>
      </c>
      <c r="C713" t="s">
        <v>1668</v>
      </c>
      <c r="D713" t="s">
        <v>1670</v>
      </c>
      <c r="K713"/>
    </row>
    <row r="714" spans="1:11">
      <c r="A714" t="s">
        <v>150</v>
      </c>
      <c r="B714" t="s">
        <v>1688</v>
      </c>
      <c r="C714" t="s">
        <v>1668</v>
      </c>
      <c r="D714" t="s">
        <v>1672</v>
      </c>
      <c r="K714"/>
    </row>
    <row r="715" spans="1:11">
      <c r="A715" t="s">
        <v>133</v>
      </c>
      <c r="B715" t="s">
        <v>1688</v>
      </c>
      <c r="C715" t="s">
        <v>1668</v>
      </c>
      <c r="D715" t="s">
        <v>1670</v>
      </c>
      <c r="K715"/>
    </row>
    <row r="716" spans="1:11">
      <c r="A716" t="s">
        <v>107</v>
      </c>
      <c r="B716" t="s">
        <v>1688</v>
      </c>
      <c r="C716" t="s">
        <v>1668</v>
      </c>
      <c r="D716" t="s">
        <v>1670</v>
      </c>
      <c r="K716"/>
    </row>
    <row r="717" spans="1:11">
      <c r="A717" t="s">
        <v>132</v>
      </c>
      <c r="B717" t="s">
        <v>1688</v>
      </c>
      <c r="C717" t="s">
        <v>1668</v>
      </c>
      <c r="D717" t="s">
        <v>1672</v>
      </c>
      <c r="K717"/>
    </row>
    <row r="718" spans="1:11">
      <c r="A718" t="s">
        <v>140</v>
      </c>
      <c r="B718" t="s">
        <v>1688</v>
      </c>
      <c r="C718" t="s">
        <v>1668</v>
      </c>
      <c r="D718" t="s">
        <v>1670</v>
      </c>
      <c r="K718"/>
    </row>
    <row r="719" spans="1:11">
      <c r="A719" t="s">
        <v>174</v>
      </c>
      <c r="B719" t="s">
        <v>1688</v>
      </c>
      <c r="C719" t="s">
        <v>1668</v>
      </c>
      <c r="D719" t="s">
        <v>1670</v>
      </c>
      <c r="K719"/>
    </row>
    <row r="720" spans="1:11">
      <c r="A720" t="s">
        <v>180</v>
      </c>
      <c r="B720" t="s">
        <v>1688</v>
      </c>
      <c r="C720" t="s">
        <v>1668</v>
      </c>
      <c r="D720" t="s">
        <v>1673</v>
      </c>
      <c r="K720"/>
    </row>
    <row r="721" spans="1:11">
      <c r="A721" t="s">
        <v>91</v>
      </c>
      <c r="B721" t="s">
        <v>1688</v>
      </c>
      <c r="C721" t="s">
        <v>1668</v>
      </c>
      <c r="D721" t="s">
        <v>1672</v>
      </c>
      <c r="K721"/>
    </row>
    <row r="722" spans="1:11">
      <c r="A722" t="s">
        <v>167</v>
      </c>
      <c r="B722" t="s">
        <v>1688</v>
      </c>
      <c r="C722" t="s">
        <v>1668</v>
      </c>
      <c r="D722" t="s">
        <v>1670</v>
      </c>
      <c r="K722"/>
    </row>
    <row r="723" spans="1:11">
      <c r="A723" t="s">
        <v>166</v>
      </c>
      <c r="B723" t="s">
        <v>1688</v>
      </c>
      <c r="C723" t="s">
        <v>1668</v>
      </c>
      <c r="D723" t="s">
        <v>1673</v>
      </c>
      <c r="K723"/>
    </row>
    <row r="724" spans="1:11">
      <c r="A724" t="s">
        <v>145</v>
      </c>
      <c r="B724" t="s">
        <v>1688</v>
      </c>
      <c r="C724" t="s">
        <v>1668</v>
      </c>
      <c r="D724" t="s">
        <v>1670</v>
      </c>
      <c r="K724"/>
    </row>
    <row r="725" spans="1:11">
      <c r="A725" t="s">
        <v>146</v>
      </c>
      <c r="B725" t="s">
        <v>1688</v>
      </c>
      <c r="C725" t="s">
        <v>1668</v>
      </c>
      <c r="D725" t="s">
        <v>1670</v>
      </c>
      <c r="K725"/>
    </row>
    <row r="726" spans="1:11">
      <c r="A726" t="s">
        <v>142</v>
      </c>
      <c r="B726" t="s">
        <v>1688</v>
      </c>
      <c r="C726" t="s">
        <v>1668</v>
      </c>
      <c r="D726" t="s">
        <v>1670</v>
      </c>
      <c r="K726"/>
    </row>
    <row r="727" spans="1:11">
      <c r="A727" t="s">
        <v>185</v>
      </c>
      <c r="B727" t="s">
        <v>1688</v>
      </c>
      <c r="C727" t="s">
        <v>1668</v>
      </c>
      <c r="D727" t="s">
        <v>1670</v>
      </c>
      <c r="K727"/>
    </row>
    <row r="728" spans="1:11">
      <c r="A728" t="s">
        <v>171</v>
      </c>
      <c r="B728" t="s">
        <v>1688</v>
      </c>
      <c r="C728" t="s">
        <v>1668</v>
      </c>
      <c r="D728" t="s">
        <v>1670</v>
      </c>
      <c r="K728"/>
    </row>
    <row r="729" spans="1:11">
      <c r="A729" t="s">
        <v>172</v>
      </c>
      <c r="B729" t="s">
        <v>1688</v>
      </c>
      <c r="C729" t="s">
        <v>1668</v>
      </c>
      <c r="D729" t="s">
        <v>1670</v>
      </c>
      <c r="K729"/>
    </row>
    <row r="730" spans="1:11">
      <c r="A730" t="s">
        <v>173</v>
      </c>
      <c r="B730" t="s">
        <v>1688</v>
      </c>
      <c r="C730" t="s">
        <v>1668</v>
      </c>
      <c r="D730" t="s">
        <v>1670</v>
      </c>
      <c r="K730"/>
    </row>
    <row r="731" spans="1:11">
      <c r="A731" t="s">
        <v>99</v>
      </c>
      <c r="B731" t="s">
        <v>1688</v>
      </c>
      <c r="C731" t="s">
        <v>1668</v>
      </c>
      <c r="D731" t="s">
        <v>1672</v>
      </c>
      <c r="K731"/>
    </row>
    <row r="732" spans="1:11">
      <c r="A732" t="s">
        <v>118</v>
      </c>
      <c r="B732" t="s">
        <v>1688</v>
      </c>
      <c r="C732" t="s">
        <v>1668</v>
      </c>
      <c r="D732" t="s">
        <v>1672</v>
      </c>
      <c r="K732"/>
    </row>
    <row r="733" spans="1:11">
      <c r="A733" t="s">
        <v>614</v>
      </c>
      <c r="B733" t="s">
        <v>1688</v>
      </c>
      <c r="C733" t="s">
        <v>1668</v>
      </c>
      <c r="D733" t="s">
        <v>1670</v>
      </c>
      <c r="K733"/>
    </row>
    <row r="734" spans="1:11">
      <c r="A734" t="s">
        <v>615</v>
      </c>
      <c r="B734" t="s">
        <v>1688</v>
      </c>
      <c r="C734" t="s">
        <v>1668</v>
      </c>
      <c r="D734" t="s">
        <v>1673</v>
      </c>
      <c r="K734"/>
    </row>
    <row r="735" spans="1:11">
      <c r="A735" t="s">
        <v>616</v>
      </c>
      <c r="B735" t="s">
        <v>1688</v>
      </c>
      <c r="C735" t="s">
        <v>1668</v>
      </c>
      <c r="D735" t="s">
        <v>1670</v>
      </c>
      <c r="K735"/>
    </row>
    <row r="736" spans="1:11">
      <c r="A736" t="s">
        <v>613</v>
      </c>
      <c r="B736" t="s">
        <v>1688</v>
      </c>
      <c r="C736" t="s">
        <v>1668</v>
      </c>
      <c r="D736" t="s">
        <v>1672</v>
      </c>
      <c r="K736"/>
    </row>
    <row r="737" spans="1:11">
      <c r="A737" t="s">
        <v>617</v>
      </c>
      <c r="B737" t="s">
        <v>1688</v>
      </c>
      <c r="C737" t="s">
        <v>1668</v>
      </c>
      <c r="D737" t="s">
        <v>1670</v>
      </c>
      <c r="K737"/>
    </row>
    <row r="738" spans="1:11">
      <c r="A738" t="s">
        <v>162</v>
      </c>
      <c r="B738" t="s">
        <v>1688</v>
      </c>
      <c r="C738" t="s">
        <v>1668</v>
      </c>
      <c r="D738" t="s">
        <v>1670</v>
      </c>
      <c r="K738"/>
    </row>
    <row r="739" spans="1:11">
      <c r="A739" t="s">
        <v>161</v>
      </c>
      <c r="B739" t="s">
        <v>1688</v>
      </c>
      <c r="C739" t="s">
        <v>1668</v>
      </c>
      <c r="D739" t="s">
        <v>1670</v>
      </c>
      <c r="K739"/>
    </row>
    <row r="740" spans="1:11">
      <c r="A740" t="s">
        <v>165</v>
      </c>
      <c r="B740" t="s">
        <v>1688</v>
      </c>
      <c r="C740" t="s">
        <v>1668</v>
      </c>
      <c r="D740" t="s">
        <v>1670</v>
      </c>
      <c r="K740"/>
    </row>
    <row r="741" spans="1:11">
      <c r="A741" t="s">
        <v>159</v>
      </c>
      <c r="B741" t="s">
        <v>1688</v>
      </c>
      <c r="C741" t="s">
        <v>1668</v>
      </c>
      <c r="D741" t="s">
        <v>1670</v>
      </c>
      <c r="K741"/>
    </row>
    <row r="742" spans="1:11">
      <c r="A742" t="s">
        <v>122</v>
      </c>
      <c r="B742" t="s">
        <v>1688</v>
      </c>
      <c r="C742" t="s">
        <v>1668</v>
      </c>
      <c r="D742" t="s">
        <v>1670</v>
      </c>
      <c r="K742"/>
    </row>
    <row r="743" spans="1:11">
      <c r="A743" t="s">
        <v>105</v>
      </c>
      <c r="B743" t="s">
        <v>1688</v>
      </c>
      <c r="C743" t="s">
        <v>1668</v>
      </c>
      <c r="D743" t="s">
        <v>1672</v>
      </c>
      <c r="K743"/>
    </row>
    <row r="744" spans="1:11">
      <c r="A744" t="s">
        <v>126</v>
      </c>
      <c r="B744" t="s">
        <v>1688</v>
      </c>
      <c r="C744" t="s">
        <v>1668</v>
      </c>
      <c r="D744" t="s">
        <v>1670</v>
      </c>
      <c r="K744"/>
    </row>
    <row r="745" spans="1:11">
      <c r="A745" t="s">
        <v>136</v>
      </c>
      <c r="B745" t="s">
        <v>1688</v>
      </c>
      <c r="C745" t="s">
        <v>1668</v>
      </c>
      <c r="D745" t="s">
        <v>1672</v>
      </c>
      <c r="K745"/>
    </row>
    <row r="746" spans="1:11">
      <c r="A746" t="s">
        <v>152</v>
      </c>
      <c r="B746" t="s">
        <v>1688</v>
      </c>
      <c r="C746" t="s">
        <v>1668</v>
      </c>
      <c r="D746" t="s">
        <v>1673</v>
      </c>
      <c r="K746"/>
    </row>
    <row r="747" spans="1:11">
      <c r="A747" t="s">
        <v>97</v>
      </c>
      <c r="B747" t="s">
        <v>1688</v>
      </c>
      <c r="C747" t="s">
        <v>1668</v>
      </c>
      <c r="D747" t="s">
        <v>1670</v>
      </c>
      <c r="K747"/>
    </row>
    <row r="748" spans="1:11">
      <c r="A748" t="s">
        <v>134</v>
      </c>
      <c r="B748" t="s">
        <v>1688</v>
      </c>
      <c r="C748" t="s">
        <v>1668</v>
      </c>
      <c r="D748" t="s">
        <v>1672</v>
      </c>
      <c r="K748"/>
    </row>
    <row r="749" spans="1:11">
      <c r="A749" t="s">
        <v>182</v>
      </c>
      <c r="B749" t="s">
        <v>1688</v>
      </c>
      <c r="C749" t="s">
        <v>1668</v>
      </c>
      <c r="D749" t="s">
        <v>1670</v>
      </c>
      <c r="K749"/>
    </row>
    <row r="750" spans="1:11">
      <c r="A750" t="s">
        <v>178</v>
      </c>
      <c r="B750" t="s">
        <v>1688</v>
      </c>
      <c r="C750" t="s">
        <v>1668</v>
      </c>
      <c r="D750" t="s">
        <v>1670</v>
      </c>
      <c r="K750"/>
    </row>
    <row r="751" spans="1:11">
      <c r="A751" t="s">
        <v>119</v>
      </c>
      <c r="B751" t="s">
        <v>1688</v>
      </c>
      <c r="C751" t="s">
        <v>1668</v>
      </c>
      <c r="D751" t="s">
        <v>1672</v>
      </c>
      <c r="K751"/>
    </row>
    <row r="752" spans="1:11">
      <c r="A752" t="s">
        <v>109</v>
      </c>
      <c r="B752" t="s">
        <v>1688</v>
      </c>
      <c r="C752" t="s">
        <v>1668</v>
      </c>
      <c r="D752" t="s">
        <v>1672</v>
      </c>
      <c r="K752"/>
    </row>
    <row r="753" spans="1:11">
      <c r="A753" t="s">
        <v>170</v>
      </c>
      <c r="B753" t="s">
        <v>1688</v>
      </c>
      <c r="C753" t="s">
        <v>1668</v>
      </c>
      <c r="D753" t="s">
        <v>1670</v>
      </c>
      <c r="K753"/>
    </row>
    <row r="754" spans="1:11">
      <c r="A754" t="s">
        <v>116</v>
      </c>
      <c r="B754" t="s">
        <v>1688</v>
      </c>
      <c r="C754" t="s">
        <v>1668</v>
      </c>
      <c r="D754" t="s">
        <v>1670</v>
      </c>
      <c r="K754"/>
    </row>
    <row r="755" spans="1:11">
      <c r="A755" t="s">
        <v>169</v>
      </c>
      <c r="B755" t="s">
        <v>1688</v>
      </c>
      <c r="C755" t="s">
        <v>1668</v>
      </c>
      <c r="D755" t="s">
        <v>1670</v>
      </c>
      <c r="K755"/>
    </row>
    <row r="756" spans="1:11">
      <c r="A756" t="s">
        <v>158</v>
      </c>
      <c r="B756" t="s">
        <v>1688</v>
      </c>
      <c r="C756" t="s">
        <v>1668</v>
      </c>
      <c r="D756" t="s">
        <v>1673</v>
      </c>
      <c r="K756"/>
    </row>
    <row r="757" spans="1:11">
      <c r="A757" t="s">
        <v>127</v>
      </c>
      <c r="B757" t="s">
        <v>1688</v>
      </c>
      <c r="C757" t="s">
        <v>1668</v>
      </c>
      <c r="D757" t="s">
        <v>1672</v>
      </c>
      <c r="K757"/>
    </row>
    <row r="758" spans="1:11">
      <c r="A758" t="s">
        <v>130</v>
      </c>
      <c r="B758" t="s">
        <v>1688</v>
      </c>
      <c r="C758" t="s">
        <v>1668</v>
      </c>
      <c r="D758" t="s">
        <v>1672</v>
      </c>
      <c r="K758"/>
    </row>
    <row r="759" spans="1:11">
      <c r="A759" t="s">
        <v>115</v>
      </c>
      <c r="B759" t="s">
        <v>1688</v>
      </c>
      <c r="C759" t="s">
        <v>1668</v>
      </c>
      <c r="D759" t="s">
        <v>1670</v>
      </c>
      <c r="K759"/>
    </row>
    <row r="760" spans="1:11">
      <c r="A760" t="s">
        <v>164</v>
      </c>
      <c r="B760" t="s">
        <v>1688</v>
      </c>
      <c r="C760" t="s">
        <v>1662</v>
      </c>
      <c r="D760" t="s">
        <v>1672</v>
      </c>
      <c r="K760"/>
    </row>
    <row r="761" spans="1:11">
      <c r="A761" t="s">
        <v>137</v>
      </c>
      <c r="B761" t="s">
        <v>1688</v>
      </c>
      <c r="C761" t="s">
        <v>1668</v>
      </c>
      <c r="D761" t="s">
        <v>1670</v>
      </c>
      <c r="K761"/>
    </row>
    <row r="762" spans="1:11">
      <c r="A762" t="s">
        <v>176</v>
      </c>
      <c r="B762" t="s">
        <v>1688</v>
      </c>
      <c r="C762" t="s">
        <v>1668</v>
      </c>
      <c r="D762" t="s">
        <v>1670</v>
      </c>
      <c r="K762"/>
    </row>
    <row r="763" spans="1:11">
      <c r="A763" t="s">
        <v>131</v>
      </c>
      <c r="B763" t="s">
        <v>1688</v>
      </c>
      <c r="C763" t="s">
        <v>1668</v>
      </c>
      <c r="D763" t="s">
        <v>1670</v>
      </c>
      <c r="K763"/>
    </row>
    <row r="764" spans="1:11">
      <c r="A764" t="s">
        <v>612</v>
      </c>
      <c r="B764" t="s">
        <v>1688</v>
      </c>
      <c r="C764" t="s">
        <v>1668</v>
      </c>
      <c r="D764" t="s">
        <v>1672</v>
      </c>
      <c r="K764"/>
    </row>
    <row r="765" spans="1:11">
      <c r="A765" t="s">
        <v>94</v>
      </c>
      <c r="B765" t="s">
        <v>1688</v>
      </c>
      <c r="C765" t="s">
        <v>1668</v>
      </c>
      <c r="D765" t="s">
        <v>1670</v>
      </c>
      <c r="K765"/>
    </row>
    <row r="766" spans="1:11">
      <c r="A766" t="s">
        <v>120</v>
      </c>
      <c r="B766" t="s">
        <v>1688</v>
      </c>
      <c r="C766" t="s">
        <v>1668</v>
      </c>
      <c r="D766" t="s">
        <v>1670</v>
      </c>
      <c r="K766"/>
    </row>
    <row r="767" spans="1:11">
      <c r="A767" t="s">
        <v>95</v>
      </c>
      <c r="B767" t="s">
        <v>1688</v>
      </c>
      <c r="C767" t="s">
        <v>1668</v>
      </c>
      <c r="D767" t="s">
        <v>1672</v>
      </c>
      <c r="K767"/>
    </row>
    <row r="768" spans="1:11">
      <c r="A768" t="s">
        <v>88</v>
      </c>
      <c r="B768" t="s">
        <v>1688</v>
      </c>
      <c r="C768" t="s">
        <v>1668</v>
      </c>
      <c r="D768" t="s">
        <v>1672</v>
      </c>
      <c r="K768"/>
    </row>
    <row r="769" spans="1:11">
      <c r="A769" t="s">
        <v>93</v>
      </c>
      <c r="B769" t="s">
        <v>1688</v>
      </c>
      <c r="C769" t="s">
        <v>1668</v>
      </c>
      <c r="D769" t="s">
        <v>1672</v>
      </c>
      <c r="K769"/>
    </row>
    <row r="770" spans="1:11">
      <c r="A770" t="s">
        <v>148</v>
      </c>
      <c r="B770" t="s">
        <v>1688</v>
      </c>
      <c r="C770" t="s">
        <v>1668</v>
      </c>
      <c r="D770" t="s">
        <v>1672</v>
      </c>
      <c r="K770"/>
    </row>
    <row r="771" spans="1:11">
      <c r="A771" t="s">
        <v>103</v>
      </c>
      <c r="B771" t="s">
        <v>1688</v>
      </c>
      <c r="C771" t="s">
        <v>1668</v>
      </c>
      <c r="D771" t="s">
        <v>1670</v>
      </c>
      <c r="K771"/>
    </row>
    <row r="772" spans="1:11">
      <c r="A772" t="s">
        <v>104</v>
      </c>
      <c r="B772" t="s">
        <v>1688</v>
      </c>
      <c r="C772" t="s">
        <v>1668</v>
      </c>
      <c r="D772" t="s">
        <v>1672</v>
      </c>
      <c r="K772"/>
    </row>
    <row r="773" spans="1:11">
      <c r="A773" t="s">
        <v>123</v>
      </c>
      <c r="B773" t="s">
        <v>1688</v>
      </c>
      <c r="C773" t="s">
        <v>1668</v>
      </c>
      <c r="D773" t="s">
        <v>1670</v>
      </c>
      <c r="K773"/>
    </row>
    <row r="774" spans="1:11">
      <c r="A774" t="s">
        <v>108</v>
      </c>
      <c r="B774" t="s">
        <v>1688</v>
      </c>
      <c r="C774" t="s">
        <v>1668</v>
      </c>
      <c r="D774" t="s">
        <v>1670</v>
      </c>
      <c r="K774"/>
    </row>
    <row r="775" spans="1:11">
      <c r="A775" t="s">
        <v>114</v>
      </c>
      <c r="B775" t="s">
        <v>1688</v>
      </c>
      <c r="C775" t="s">
        <v>1668</v>
      </c>
      <c r="D775" t="s">
        <v>1670</v>
      </c>
      <c r="K775"/>
    </row>
    <row r="776" spans="1:11">
      <c r="A776" t="s">
        <v>110</v>
      </c>
      <c r="B776" t="s">
        <v>1688</v>
      </c>
      <c r="C776" t="s">
        <v>1668</v>
      </c>
      <c r="D776" t="s">
        <v>1670</v>
      </c>
      <c r="K776"/>
    </row>
    <row r="777" spans="1:11">
      <c r="A777" t="s">
        <v>139</v>
      </c>
      <c r="B777" t="s">
        <v>1688</v>
      </c>
      <c r="C777" t="s">
        <v>1668</v>
      </c>
      <c r="D777" t="s">
        <v>1672</v>
      </c>
      <c r="K777"/>
    </row>
    <row r="778" spans="1:11">
      <c r="A778" t="s">
        <v>156</v>
      </c>
      <c r="B778" t="s">
        <v>1688</v>
      </c>
      <c r="C778" t="s">
        <v>1668</v>
      </c>
      <c r="D778" t="s">
        <v>1670</v>
      </c>
      <c r="K778"/>
    </row>
    <row r="779" spans="1:11">
      <c r="A779" t="s">
        <v>90</v>
      </c>
      <c r="B779" t="s">
        <v>1688</v>
      </c>
      <c r="C779" t="s">
        <v>1668</v>
      </c>
      <c r="D779" t="s">
        <v>1670</v>
      </c>
      <c r="K779"/>
    </row>
    <row r="780" spans="1:11">
      <c r="A780" t="s">
        <v>87</v>
      </c>
      <c r="B780" t="s">
        <v>1688</v>
      </c>
      <c r="C780" t="s">
        <v>1668</v>
      </c>
      <c r="D780" t="s">
        <v>1670</v>
      </c>
      <c r="K780"/>
    </row>
    <row r="781" spans="1:11">
      <c r="A781" t="s">
        <v>89</v>
      </c>
      <c r="B781" t="s">
        <v>1688</v>
      </c>
      <c r="C781" t="s">
        <v>1668</v>
      </c>
      <c r="D781" t="s">
        <v>1670</v>
      </c>
      <c r="K781"/>
    </row>
    <row r="782" spans="1:11">
      <c r="A782" t="s">
        <v>106</v>
      </c>
      <c r="B782" t="s">
        <v>1688</v>
      </c>
      <c r="C782" t="s">
        <v>1668</v>
      </c>
      <c r="D782" t="s">
        <v>1670</v>
      </c>
      <c r="K782"/>
    </row>
    <row r="783" spans="1:11">
      <c r="A783" t="s">
        <v>125</v>
      </c>
      <c r="B783" t="s">
        <v>1688</v>
      </c>
      <c r="C783" t="s">
        <v>1668</v>
      </c>
      <c r="D783" t="s">
        <v>1670</v>
      </c>
      <c r="K783"/>
    </row>
    <row r="784" spans="1:11">
      <c r="A784" t="s">
        <v>186</v>
      </c>
      <c r="B784" t="s">
        <v>1688</v>
      </c>
      <c r="C784" t="s">
        <v>1668</v>
      </c>
      <c r="D784" t="s">
        <v>1670</v>
      </c>
      <c r="K784"/>
    </row>
    <row r="785" spans="1:11">
      <c r="A785" t="s">
        <v>135</v>
      </c>
      <c r="B785" t="s">
        <v>1688</v>
      </c>
      <c r="C785" t="s">
        <v>1668</v>
      </c>
      <c r="D785" t="s">
        <v>1670</v>
      </c>
      <c r="K785"/>
    </row>
    <row r="786" spans="1:11">
      <c r="A786" t="s">
        <v>143</v>
      </c>
      <c r="B786" t="s">
        <v>1688</v>
      </c>
      <c r="C786" t="s">
        <v>1668</v>
      </c>
      <c r="D786" t="s">
        <v>1670</v>
      </c>
      <c r="K786"/>
    </row>
    <row r="787" spans="1:11">
      <c r="A787" t="s">
        <v>184</v>
      </c>
      <c r="B787" t="s">
        <v>1688</v>
      </c>
      <c r="C787" t="s">
        <v>1668</v>
      </c>
      <c r="D787" t="s">
        <v>1670</v>
      </c>
      <c r="K787"/>
    </row>
    <row r="788" spans="1:11">
      <c r="A788" t="s">
        <v>121</v>
      </c>
      <c r="B788" t="s">
        <v>1688</v>
      </c>
      <c r="C788" t="s">
        <v>1668</v>
      </c>
      <c r="D788" t="s">
        <v>1676</v>
      </c>
      <c r="K788"/>
    </row>
    <row r="789" spans="1:11">
      <c r="A789" t="s">
        <v>163</v>
      </c>
      <c r="B789" t="s">
        <v>1688</v>
      </c>
      <c r="C789" t="s">
        <v>1662</v>
      </c>
      <c r="D789" t="s">
        <v>1672</v>
      </c>
      <c r="K789"/>
    </row>
    <row r="790" spans="1:11">
      <c r="A790" t="s">
        <v>1692</v>
      </c>
      <c r="B790" t="s">
        <v>1688</v>
      </c>
      <c r="C790" t="s">
        <v>1661</v>
      </c>
      <c r="D790" t="s">
        <v>1670</v>
      </c>
    </row>
    <row r="791" spans="1:11">
      <c r="A791" t="s">
        <v>1693</v>
      </c>
      <c r="B791" t="s">
        <v>1688</v>
      </c>
      <c r="C791" t="s">
        <v>1668</v>
      </c>
      <c r="D791" t="s">
        <v>1670</v>
      </c>
    </row>
    <row r="792" spans="1:11">
      <c r="A792" t="s">
        <v>2739</v>
      </c>
      <c r="B792" t="s">
        <v>1689</v>
      </c>
      <c r="C792" t="s">
        <v>1660</v>
      </c>
      <c r="D792" t="s">
        <v>1671</v>
      </c>
    </row>
    <row r="793" spans="1:11">
      <c r="A793" t="s">
        <v>2873</v>
      </c>
      <c r="B793" t="s">
        <v>1688</v>
      </c>
      <c r="C793" t="s">
        <v>1668</v>
      </c>
      <c r="D793" t="s">
        <v>1671</v>
      </c>
    </row>
    <row r="794" spans="1:11">
      <c r="A794" t="s">
        <v>2875</v>
      </c>
      <c r="B794" t="s">
        <v>1688</v>
      </c>
      <c r="C794" t="s">
        <v>1661</v>
      </c>
      <c r="D794" t="s">
        <v>1671</v>
      </c>
    </row>
    <row r="795" spans="1:11">
      <c r="A795" t="s">
        <v>2877</v>
      </c>
      <c r="B795" t="s">
        <v>1688</v>
      </c>
      <c r="C795" t="s">
        <v>1668</v>
      </c>
      <c r="D795" t="s">
        <v>1670</v>
      </c>
    </row>
    <row r="796" spans="1:11">
      <c r="A796" t="s">
        <v>2879</v>
      </c>
      <c r="B796" t="s">
        <v>1688</v>
      </c>
      <c r="C796" t="s">
        <v>1668</v>
      </c>
      <c r="D796" t="s">
        <v>1670</v>
      </c>
    </row>
    <row r="797" spans="1:11">
      <c r="A797" t="s">
        <v>2892</v>
      </c>
      <c r="B797" t="s">
        <v>1688</v>
      </c>
      <c r="C797" t="s">
        <v>1664</v>
      </c>
      <c r="D797" t="s">
        <v>1670</v>
      </c>
    </row>
    <row r="798" spans="1:11">
      <c r="A798" t="s">
        <v>2894</v>
      </c>
      <c r="B798" t="s">
        <v>1688</v>
      </c>
      <c r="C798" t="s">
        <v>1664</v>
      </c>
      <c r="D798" t="s">
        <v>1670</v>
      </c>
    </row>
    <row r="799" spans="1:11">
      <c r="A799" t="s">
        <v>2896</v>
      </c>
      <c r="B799" t="s">
        <v>1689</v>
      </c>
      <c r="C799" t="s">
        <v>1661</v>
      </c>
      <c r="D799" t="s">
        <v>1670</v>
      </c>
    </row>
    <row r="800" spans="1:11">
      <c r="A800" t="s">
        <v>2898</v>
      </c>
      <c r="B800" t="s">
        <v>1688</v>
      </c>
      <c r="C800" t="s">
        <v>1661</v>
      </c>
      <c r="D800" t="s">
        <v>1670</v>
      </c>
    </row>
    <row r="801" spans="1:4">
      <c r="A801" t="s">
        <v>2900</v>
      </c>
      <c r="B801" t="s">
        <v>1688</v>
      </c>
      <c r="C801" t="s">
        <v>1661</v>
      </c>
      <c r="D801" t="s">
        <v>1670</v>
      </c>
    </row>
    <row r="802" spans="1:4">
      <c r="A802" t="s">
        <v>2901</v>
      </c>
      <c r="B802" t="s">
        <v>1688</v>
      </c>
      <c r="C802" t="s">
        <v>1661</v>
      </c>
      <c r="D802" t="s">
        <v>1670</v>
      </c>
    </row>
    <row r="803" spans="1:4">
      <c r="A803" t="s">
        <v>2903</v>
      </c>
      <c r="B803" t="s">
        <v>1689</v>
      </c>
      <c r="C803" t="s">
        <v>1661</v>
      </c>
      <c r="D803" t="s">
        <v>1670</v>
      </c>
    </row>
    <row r="804" spans="1:4">
      <c r="A804" t="s">
        <v>2907</v>
      </c>
      <c r="B804" t="s">
        <v>1688</v>
      </c>
      <c r="C804" t="s">
        <v>1665</v>
      </c>
      <c r="D804" t="s">
        <v>1672</v>
      </c>
    </row>
    <row r="805" spans="1:4">
      <c r="A805" t="s">
        <v>3029</v>
      </c>
      <c r="B805" t="s">
        <v>1688</v>
      </c>
      <c r="C805" t="s">
        <v>1667</v>
      </c>
      <c r="D805" t="s">
        <v>1670</v>
      </c>
    </row>
    <row r="806" spans="1:4">
      <c r="A806" t="s">
        <v>3030</v>
      </c>
      <c r="B806" t="s">
        <v>1688</v>
      </c>
      <c r="C806" t="s">
        <v>1667</v>
      </c>
      <c r="D806" t="s">
        <v>1670</v>
      </c>
    </row>
    <row r="807" spans="1:4">
      <c r="A807" t="s">
        <v>3003</v>
      </c>
      <c r="B807" t="s">
        <v>1688</v>
      </c>
      <c r="C807" t="s">
        <v>1667</v>
      </c>
      <c r="D807" t="s">
        <v>3012</v>
      </c>
    </row>
    <row r="808" spans="1:4">
      <c r="A808" t="s">
        <v>2998</v>
      </c>
      <c r="B808" t="s">
        <v>1688</v>
      </c>
      <c r="C808" t="s">
        <v>1667</v>
      </c>
      <c r="D808" t="s">
        <v>3012</v>
      </c>
    </row>
    <row r="809" spans="1:4">
      <c r="A809" t="s">
        <v>2999</v>
      </c>
      <c r="B809" t="s">
        <v>1688</v>
      </c>
      <c r="C809" t="s">
        <v>1667</v>
      </c>
      <c r="D809" t="s">
        <v>3012</v>
      </c>
    </row>
    <row r="810" spans="1:4">
      <c r="A810" t="s">
        <v>3000</v>
      </c>
      <c r="B810" t="s">
        <v>1688</v>
      </c>
      <c r="C810" t="s">
        <v>1667</v>
      </c>
      <c r="D810" t="s">
        <v>3012</v>
      </c>
    </row>
    <row r="811" spans="1:4">
      <c r="A811" t="s">
        <v>3001</v>
      </c>
      <c r="B811" t="s">
        <v>1688</v>
      </c>
      <c r="C811" t="s">
        <v>1667</v>
      </c>
      <c r="D811" t="s">
        <v>3012</v>
      </c>
    </row>
    <row r="812" spans="1:4">
      <c r="A812" t="s">
        <v>3002</v>
      </c>
      <c r="B812" t="s">
        <v>1688</v>
      </c>
      <c r="C812" t="s">
        <v>1667</v>
      </c>
      <c r="D812" t="s">
        <v>3012</v>
      </c>
    </row>
    <row r="813" spans="1:4">
      <c r="A813" t="s">
        <v>3037</v>
      </c>
      <c r="B813" t="s">
        <v>1688</v>
      </c>
      <c r="C813" t="s">
        <v>1667</v>
      </c>
      <c r="D813" t="s">
        <v>3012</v>
      </c>
    </row>
    <row r="814" spans="1:4">
      <c r="A814" t="s">
        <v>3014</v>
      </c>
      <c r="B814" t="s">
        <v>1689</v>
      </c>
      <c r="C814" t="s">
        <v>1664</v>
      </c>
      <c r="D814" t="s">
        <v>1670</v>
      </c>
    </row>
    <row r="815" spans="1:4">
      <c r="A815" t="s">
        <v>3031</v>
      </c>
      <c r="B815" t="s">
        <v>1688</v>
      </c>
      <c r="C815" t="s">
        <v>1665</v>
      </c>
      <c r="D815" t="s">
        <v>1672</v>
      </c>
    </row>
    <row r="816" spans="1:4">
      <c r="A816" t="s">
        <v>3034</v>
      </c>
      <c r="B816" t="s">
        <v>1688</v>
      </c>
      <c r="C816" t="s">
        <v>1665</v>
      </c>
      <c r="D816" t="s">
        <v>1672</v>
      </c>
    </row>
    <row r="817" spans="1:4">
      <c r="A817" t="s">
        <v>3038</v>
      </c>
      <c r="B817" t="s">
        <v>1688</v>
      </c>
      <c r="C817" t="s">
        <v>1665</v>
      </c>
      <c r="D817" t="s">
        <v>1672</v>
      </c>
    </row>
    <row r="818" spans="1:4">
      <c r="A818" t="s">
        <v>3041</v>
      </c>
      <c r="B818" t="s">
        <v>1688</v>
      </c>
      <c r="C818" t="s">
        <v>1665</v>
      </c>
      <c r="D818" t="s">
        <v>1672</v>
      </c>
    </row>
    <row r="819" spans="1:4">
      <c r="A819" t="s">
        <v>3054</v>
      </c>
      <c r="B819" t="s">
        <v>1688</v>
      </c>
      <c r="C819" t="s">
        <v>1665</v>
      </c>
      <c r="D819" t="s">
        <v>1672</v>
      </c>
    </row>
    <row r="820" spans="1:4">
      <c r="A820" t="s">
        <v>3055</v>
      </c>
      <c r="B820" t="s">
        <v>1688</v>
      </c>
      <c r="C820" t="s">
        <v>1665</v>
      </c>
      <c r="D820" t="s">
        <v>1672</v>
      </c>
    </row>
    <row r="821" spans="1:4">
      <c r="A821" t="s">
        <v>3058</v>
      </c>
      <c r="B821" t="s">
        <v>1688</v>
      </c>
      <c r="C821" t="s">
        <v>1665</v>
      </c>
      <c r="D821" t="s">
        <v>1672</v>
      </c>
    </row>
    <row r="822" spans="1:4">
      <c r="A822" t="s">
        <v>3062</v>
      </c>
      <c r="B822" t="s">
        <v>1688</v>
      </c>
      <c r="C822" t="s">
        <v>1665</v>
      </c>
      <c r="D822" t="s">
        <v>1670</v>
      </c>
    </row>
    <row r="823" spans="1:4">
      <c r="A823" t="s">
        <v>3063</v>
      </c>
      <c r="B823" t="s">
        <v>1688</v>
      </c>
      <c r="C823" t="s">
        <v>1665</v>
      </c>
      <c r="D823" t="s">
        <v>1670</v>
      </c>
    </row>
    <row r="824" spans="1:4">
      <c r="A824" t="s">
        <v>3066</v>
      </c>
      <c r="B824" t="s">
        <v>1688</v>
      </c>
      <c r="C824" t="s">
        <v>1661</v>
      </c>
      <c r="D824" t="s">
        <v>1670</v>
      </c>
    </row>
    <row r="825" spans="1:4">
      <c r="A825" t="s">
        <v>3070</v>
      </c>
      <c r="B825" t="s">
        <v>1688</v>
      </c>
      <c r="C825" t="s">
        <v>1664</v>
      </c>
      <c r="D825" t="s">
        <v>1670</v>
      </c>
    </row>
    <row r="826" spans="1:4">
      <c r="A826" t="s">
        <v>3072</v>
      </c>
      <c r="B826" t="s">
        <v>1688</v>
      </c>
      <c r="C826" t="s">
        <v>1664</v>
      </c>
      <c r="D826" t="s">
        <v>1670</v>
      </c>
    </row>
    <row r="827" spans="1:4">
      <c r="A827" t="s">
        <v>3074</v>
      </c>
      <c r="B827" t="s">
        <v>1688</v>
      </c>
      <c r="C827" t="s">
        <v>1668</v>
      </c>
      <c r="D827" t="s">
        <v>1670</v>
      </c>
    </row>
    <row r="828" spans="1:4">
      <c r="A828" t="s">
        <v>3076</v>
      </c>
      <c r="B828" t="s">
        <v>1688</v>
      </c>
      <c r="C828" t="s">
        <v>1665</v>
      </c>
      <c r="D828" t="s">
        <v>1670</v>
      </c>
    </row>
    <row r="829" spans="1:4">
      <c r="A829" t="s">
        <v>3079</v>
      </c>
      <c r="B829" t="s">
        <v>1688</v>
      </c>
      <c r="C829" t="s">
        <v>1665</v>
      </c>
      <c r="D829" t="s">
        <v>1670</v>
      </c>
    </row>
    <row r="830" spans="1:4">
      <c r="A830" t="s">
        <v>3081</v>
      </c>
      <c r="B830" t="s">
        <v>1688</v>
      </c>
      <c r="C830" t="s">
        <v>1665</v>
      </c>
      <c r="D830" t="s">
        <v>1670</v>
      </c>
    </row>
    <row r="831" spans="1:4">
      <c r="A831" t="s">
        <v>3084</v>
      </c>
      <c r="B831" t="s">
        <v>1688</v>
      </c>
      <c r="C831" t="s">
        <v>1665</v>
      </c>
      <c r="D831" t="s">
        <v>1670</v>
      </c>
    </row>
    <row r="832" spans="1:4">
      <c r="A832" t="s">
        <v>3087</v>
      </c>
      <c r="B832" t="s">
        <v>1688</v>
      </c>
      <c r="C832" t="s">
        <v>1665</v>
      </c>
      <c r="D832" t="s">
        <v>1672</v>
      </c>
    </row>
    <row r="833" spans="1:4">
      <c r="A833" t="s">
        <v>3090</v>
      </c>
      <c r="B833" t="s">
        <v>1688</v>
      </c>
      <c r="C833" t="s">
        <v>1665</v>
      </c>
      <c r="D833" t="s">
        <v>1672</v>
      </c>
    </row>
    <row r="834" spans="1:4">
      <c r="A834" t="s">
        <v>3093</v>
      </c>
      <c r="B834" t="s">
        <v>1688</v>
      </c>
      <c r="C834" t="s">
        <v>1668</v>
      </c>
      <c r="D834" t="s">
        <v>1672</v>
      </c>
    </row>
    <row r="835" spans="1:4">
      <c r="A835" t="s">
        <v>3095</v>
      </c>
      <c r="B835" t="s">
        <v>1688</v>
      </c>
      <c r="C835" t="s">
        <v>1668</v>
      </c>
      <c r="D835" t="s">
        <v>1672</v>
      </c>
    </row>
    <row r="836" spans="1:4">
      <c r="A836" t="s">
        <v>3098</v>
      </c>
      <c r="B836" t="s">
        <v>1688</v>
      </c>
      <c r="C836" t="s">
        <v>1668</v>
      </c>
      <c r="D836" t="s">
        <v>1670</v>
      </c>
    </row>
    <row r="837" spans="1:4">
      <c r="A837" t="s">
        <v>3101</v>
      </c>
      <c r="B837" t="s">
        <v>1688</v>
      </c>
      <c r="C837" t="s">
        <v>1668</v>
      </c>
      <c r="D837" t="s">
        <v>1670</v>
      </c>
    </row>
    <row r="838" spans="1:4">
      <c r="A838" t="s">
        <v>3104</v>
      </c>
      <c r="B838" t="s">
        <v>1688</v>
      </c>
      <c r="C838" t="s">
        <v>1668</v>
      </c>
      <c r="D838" t="s">
        <v>1670</v>
      </c>
    </row>
    <row r="839" spans="1:4">
      <c r="A839" t="s">
        <v>3107</v>
      </c>
      <c r="B839" t="s">
        <v>1688</v>
      </c>
      <c r="C839" t="s">
        <v>1668</v>
      </c>
      <c r="D839" t="s">
        <v>1670</v>
      </c>
    </row>
    <row r="840" spans="1:4">
      <c r="A840" t="s">
        <v>3110</v>
      </c>
      <c r="B840" t="s">
        <v>1688</v>
      </c>
      <c r="C840" t="s">
        <v>1668</v>
      </c>
      <c r="D840" t="s">
        <v>1672</v>
      </c>
    </row>
    <row r="841" spans="1:4">
      <c r="A841" s="2" t="s">
        <v>3114</v>
      </c>
      <c r="B841" t="s">
        <v>1688</v>
      </c>
      <c r="C841" t="s">
        <v>1668</v>
      </c>
      <c r="D841" t="s">
        <v>1670</v>
      </c>
    </row>
    <row r="842" spans="1:4">
      <c r="A842" s="2" t="s">
        <v>3115</v>
      </c>
      <c r="B842" t="s">
        <v>1688</v>
      </c>
      <c r="C842" t="s">
        <v>1668</v>
      </c>
      <c r="D842" t="s">
        <v>1670</v>
      </c>
    </row>
    <row r="843" spans="1:4">
      <c r="A843" s="2" t="s">
        <v>3117</v>
      </c>
      <c r="B843" t="s">
        <v>1688</v>
      </c>
      <c r="C843" t="s">
        <v>1668</v>
      </c>
      <c r="D843" t="s">
        <v>1672</v>
      </c>
    </row>
    <row r="844" spans="1:4">
      <c r="A844" s="2" t="s">
        <v>3119</v>
      </c>
      <c r="B844" t="s">
        <v>1688</v>
      </c>
      <c r="C844" t="s">
        <v>1668</v>
      </c>
      <c r="D844" t="s">
        <v>1670</v>
      </c>
    </row>
    <row r="845" spans="1:4">
      <c r="A845" s="2" t="s">
        <v>3124</v>
      </c>
      <c r="B845" t="s">
        <v>1688</v>
      </c>
      <c r="C845" t="s">
        <v>1661</v>
      </c>
      <c r="D845" t="s">
        <v>1670</v>
      </c>
    </row>
    <row r="846" spans="1:4">
      <c r="A846" s="2" t="s">
        <v>3127</v>
      </c>
      <c r="B846" t="s">
        <v>1688</v>
      </c>
      <c r="C846" t="s">
        <v>1661</v>
      </c>
      <c r="D846" t="s">
        <v>1670</v>
      </c>
    </row>
    <row r="847" spans="1:4">
      <c r="A847" s="2" t="s">
        <v>3130</v>
      </c>
      <c r="B847" t="s">
        <v>1688</v>
      </c>
      <c r="C847" t="s">
        <v>1661</v>
      </c>
      <c r="D847" t="s">
        <v>1670</v>
      </c>
    </row>
    <row r="848" spans="1:4">
      <c r="A848" s="2" t="s">
        <v>3131</v>
      </c>
      <c r="B848" t="s">
        <v>1688</v>
      </c>
      <c r="C848" t="s">
        <v>1661</v>
      </c>
      <c r="D848" t="s">
        <v>1670</v>
      </c>
    </row>
    <row r="849" spans="1:4">
      <c r="A849" s="2" t="s">
        <v>3133</v>
      </c>
      <c r="B849" t="s">
        <v>1688</v>
      </c>
      <c r="C849" t="s">
        <v>1661</v>
      </c>
      <c r="D849" t="s">
        <v>1670</v>
      </c>
    </row>
    <row r="850" spans="1:4">
      <c r="A850" s="2" t="s">
        <v>3137</v>
      </c>
      <c r="B850" t="s">
        <v>1688</v>
      </c>
      <c r="C850" t="s">
        <v>1661</v>
      </c>
      <c r="D850" t="s">
        <v>1670</v>
      </c>
    </row>
    <row r="851" spans="1:4">
      <c r="A851" s="2" t="s">
        <v>3139</v>
      </c>
      <c r="B851" t="s">
        <v>1688</v>
      </c>
      <c r="C851" t="s">
        <v>1661</v>
      </c>
      <c r="D851" t="s">
        <v>1670</v>
      </c>
    </row>
    <row r="852" spans="1:4">
      <c r="A852" s="2" t="s">
        <v>3144</v>
      </c>
      <c r="B852" t="s">
        <v>1688</v>
      </c>
      <c r="C852" t="s">
        <v>1661</v>
      </c>
      <c r="D852" t="s">
        <v>1670</v>
      </c>
    </row>
    <row r="853" spans="1:4">
      <c r="A853" s="2" t="s">
        <v>3145</v>
      </c>
      <c r="B853" t="s">
        <v>1688</v>
      </c>
      <c r="C853" t="s">
        <v>1661</v>
      </c>
      <c r="D853" t="s">
        <v>1670</v>
      </c>
    </row>
    <row r="854" spans="1:4">
      <c r="A854" s="2" t="s">
        <v>3148</v>
      </c>
      <c r="B854" t="s">
        <v>1688</v>
      </c>
      <c r="C854" t="s">
        <v>1661</v>
      </c>
      <c r="D854" t="s">
        <v>1670</v>
      </c>
    </row>
    <row r="855" spans="1:4">
      <c r="A855" s="2" t="s">
        <v>3151</v>
      </c>
      <c r="B855" t="s">
        <v>1688</v>
      </c>
      <c r="C855" t="s">
        <v>1661</v>
      </c>
      <c r="D855" t="s">
        <v>1670</v>
      </c>
    </row>
    <row r="856" spans="1:4">
      <c r="A856" s="2" t="s">
        <v>3153</v>
      </c>
      <c r="B856" t="s">
        <v>1688</v>
      </c>
      <c r="C856" t="s">
        <v>1661</v>
      </c>
      <c r="D856" t="s">
        <v>1670</v>
      </c>
    </row>
    <row r="857" spans="1:4">
      <c r="A857" s="2" t="s">
        <v>3155</v>
      </c>
      <c r="B857" t="s">
        <v>1688</v>
      </c>
      <c r="C857" t="s">
        <v>1661</v>
      </c>
      <c r="D857" t="s">
        <v>1670</v>
      </c>
    </row>
    <row r="858" spans="1:4">
      <c r="A858" s="2" t="s">
        <v>3158</v>
      </c>
      <c r="B858" t="s">
        <v>1688</v>
      </c>
      <c r="C858" t="s">
        <v>1661</v>
      </c>
      <c r="D858" t="s">
        <v>1670</v>
      </c>
    </row>
    <row r="859" spans="1:4">
      <c r="A859" s="2" t="s">
        <v>3160</v>
      </c>
      <c r="B859" t="s">
        <v>1688</v>
      </c>
      <c r="C859" t="s">
        <v>1661</v>
      </c>
      <c r="D859" t="s">
        <v>1670</v>
      </c>
    </row>
    <row r="860" spans="1:4">
      <c r="A860" s="2" t="s">
        <v>3166</v>
      </c>
      <c r="B860" t="s">
        <v>1688</v>
      </c>
      <c r="C860" t="s">
        <v>1661</v>
      </c>
      <c r="D860" t="s">
        <v>1670</v>
      </c>
    </row>
    <row r="861" spans="1:4">
      <c r="A861" s="2" t="s">
        <v>3171</v>
      </c>
      <c r="B861" t="s">
        <v>1688</v>
      </c>
      <c r="C861" t="s">
        <v>1661</v>
      </c>
      <c r="D861" t="s">
        <v>1670</v>
      </c>
    </row>
    <row r="862" spans="1:4">
      <c r="A862" s="2" t="s">
        <v>3163</v>
      </c>
      <c r="B862" t="s">
        <v>1688</v>
      </c>
      <c r="C862" t="s">
        <v>1661</v>
      </c>
      <c r="D862" t="s">
        <v>1670</v>
      </c>
    </row>
    <row r="863" spans="1:4">
      <c r="A863" t="s">
        <v>3172</v>
      </c>
      <c r="B863" t="s">
        <v>1688</v>
      </c>
      <c r="C863" t="s">
        <v>1661</v>
      </c>
      <c r="D863" t="s">
        <v>1670</v>
      </c>
    </row>
    <row r="864" spans="1:4">
      <c r="A864" t="s">
        <v>3173</v>
      </c>
      <c r="B864" t="s">
        <v>1688</v>
      </c>
      <c r="C864" t="s">
        <v>1661</v>
      </c>
      <c r="D864" t="s">
        <v>1670</v>
      </c>
    </row>
    <row r="865" spans="1:4">
      <c r="A865" t="s">
        <v>3174</v>
      </c>
      <c r="B865" t="s">
        <v>1688</v>
      </c>
      <c r="C865" t="s">
        <v>1661</v>
      </c>
      <c r="D865" t="s">
        <v>1670</v>
      </c>
    </row>
    <row r="866" spans="1:4">
      <c r="A866" s="2" t="s">
        <v>3179</v>
      </c>
      <c r="B866" t="s">
        <v>1688</v>
      </c>
      <c r="C866" t="s">
        <v>1661</v>
      </c>
      <c r="D866" t="s">
        <v>1670</v>
      </c>
    </row>
    <row r="867" spans="1:4">
      <c r="A867" t="s">
        <v>3183</v>
      </c>
      <c r="B867" t="s">
        <v>1688</v>
      </c>
      <c r="C867" t="s">
        <v>1661</v>
      </c>
      <c r="D867" t="s">
        <v>1670</v>
      </c>
    </row>
    <row r="868" spans="1:4">
      <c r="A868" s="2" t="s">
        <v>3186</v>
      </c>
      <c r="B868" t="s">
        <v>1688</v>
      </c>
      <c r="C868" t="s">
        <v>1661</v>
      </c>
      <c r="D868" t="s">
        <v>1670</v>
      </c>
    </row>
    <row r="869" spans="1:4">
      <c r="A869" s="2" t="s">
        <v>3187</v>
      </c>
      <c r="B869" t="s">
        <v>1688</v>
      </c>
      <c r="C869" t="s">
        <v>1661</v>
      </c>
      <c r="D869" t="s">
        <v>1670</v>
      </c>
    </row>
    <row r="870" spans="1:4">
      <c r="A870" s="2" t="s">
        <v>3190</v>
      </c>
      <c r="B870" t="s">
        <v>1689</v>
      </c>
      <c r="C870" t="s">
        <v>1664</v>
      </c>
      <c r="D870" t="s">
        <v>1670</v>
      </c>
    </row>
    <row r="871" spans="1:4">
      <c r="A871" s="2" t="s">
        <v>3192</v>
      </c>
      <c r="B871" t="s">
        <v>1688</v>
      </c>
      <c r="C871" t="s">
        <v>1661</v>
      </c>
      <c r="D871" t="s">
        <v>1670</v>
      </c>
    </row>
    <row r="872" spans="1:4">
      <c r="A872" s="2" t="s">
        <v>3196</v>
      </c>
      <c r="B872" t="s">
        <v>1688</v>
      </c>
      <c r="C872" t="s">
        <v>1661</v>
      </c>
      <c r="D872" t="s">
        <v>1670</v>
      </c>
    </row>
    <row r="873" spans="1:4">
      <c r="A873" s="2" t="s">
        <v>3199</v>
      </c>
      <c r="B873" t="s">
        <v>1688</v>
      </c>
      <c r="C873" t="s">
        <v>1661</v>
      </c>
      <c r="D873" t="s">
        <v>1670</v>
      </c>
    </row>
    <row r="874" spans="1:4">
      <c r="A874" s="2" t="s">
        <v>3204</v>
      </c>
      <c r="B874" t="s">
        <v>1688</v>
      </c>
      <c r="C874" t="s">
        <v>1661</v>
      </c>
      <c r="D874" t="s">
        <v>1670</v>
      </c>
    </row>
    <row r="875" spans="1:4">
      <c r="A875" s="2" t="s">
        <v>3207</v>
      </c>
      <c r="B875" t="s">
        <v>1688</v>
      </c>
      <c r="C875" t="s">
        <v>1661</v>
      </c>
      <c r="D875" t="s">
        <v>1670</v>
      </c>
    </row>
    <row r="876" spans="1:4">
      <c r="A876" s="2" t="s">
        <v>3209</v>
      </c>
      <c r="B876" t="s">
        <v>1688</v>
      </c>
      <c r="C876" t="s">
        <v>1661</v>
      </c>
      <c r="D876" t="s">
        <v>1670</v>
      </c>
    </row>
    <row r="877" spans="1:4">
      <c r="A877" s="2" t="s">
        <v>3213</v>
      </c>
      <c r="B877" t="s">
        <v>1688</v>
      </c>
      <c r="C877" t="s">
        <v>1661</v>
      </c>
      <c r="D877" t="s">
        <v>1670</v>
      </c>
    </row>
    <row r="878" spans="1:4">
      <c r="A878" s="2" t="s">
        <v>3216</v>
      </c>
      <c r="B878" t="s">
        <v>1688</v>
      </c>
      <c r="C878" t="s">
        <v>1661</v>
      </c>
      <c r="D878" t="s">
        <v>1670</v>
      </c>
    </row>
    <row r="879" spans="1:4">
      <c r="A879" s="2" t="s">
        <v>3219</v>
      </c>
      <c r="B879" t="s">
        <v>1688</v>
      </c>
      <c r="C879" t="s">
        <v>1661</v>
      </c>
      <c r="D879" t="s">
        <v>1670</v>
      </c>
    </row>
    <row r="880" spans="1:4">
      <c r="A880" s="2" t="s">
        <v>3221</v>
      </c>
      <c r="B880" t="s">
        <v>1688</v>
      </c>
      <c r="C880" t="s">
        <v>1661</v>
      </c>
      <c r="D880" t="s">
        <v>1670</v>
      </c>
    </row>
    <row r="881" spans="1:4">
      <c r="A881" t="s">
        <v>3224</v>
      </c>
      <c r="B881" t="s">
        <v>1688</v>
      </c>
      <c r="C881" t="s">
        <v>1668</v>
      </c>
      <c r="D881" t="s">
        <v>1670</v>
      </c>
    </row>
    <row r="882" spans="1:4">
      <c r="A882" s="2" t="s">
        <v>3227</v>
      </c>
      <c r="B882" t="s">
        <v>1688</v>
      </c>
      <c r="C882" t="s">
        <v>1668</v>
      </c>
      <c r="D882" t="s">
        <v>1670</v>
      </c>
    </row>
    <row r="883" spans="1:4">
      <c r="A883" s="2" t="s">
        <v>3231</v>
      </c>
      <c r="B883" t="s">
        <v>1688</v>
      </c>
      <c r="C883" t="s">
        <v>1668</v>
      </c>
      <c r="D883" t="s">
        <v>1670</v>
      </c>
    </row>
    <row r="884" spans="1:4">
      <c r="A884" t="s">
        <v>3233</v>
      </c>
      <c r="B884" t="s">
        <v>1688</v>
      </c>
      <c r="C884" t="s">
        <v>1668</v>
      </c>
      <c r="D884" t="s">
        <v>1670</v>
      </c>
    </row>
    <row r="885" spans="1:4">
      <c r="A885" s="2" t="s">
        <v>3236</v>
      </c>
      <c r="B885" t="s">
        <v>1688</v>
      </c>
      <c r="C885" t="s">
        <v>1668</v>
      </c>
      <c r="D885" t="s">
        <v>1670</v>
      </c>
    </row>
    <row r="886" spans="1:4">
      <c r="A886" s="2" t="s">
        <v>3238</v>
      </c>
      <c r="B886" t="s">
        <v>1688</v>
      </c>
      <c r="C886" t="s">
        <v>1668</v>
      </c>
      <c r="D886" t="s">
        <v>1670</v>
      </c>
    </row>
    <row r="887" spans="1:4">
      <c r="A887" s="2" t="s">
        <v>3241</v>
      </c>
      <c r="B887" t="s">
        <v>1688</v>
      </c>
      <c r="C887" t="s">
        <v>1668</v>
      </c>
      <c r="D887" t="s">
        <v>1672</v>
      </c>
    </row>
    <row r="888" spans="1:4">
      <c r="A888" t="s">
        <v>3244</v>
      </c>
      <c r="B888" t="s">
        <v>1688</v>
      </c>
      <c r="C888" t="s">
        <v>1661</v>
      </c>
      <c r="D888" t="s">
        <v>1670</v>
      </c>
    </row>
    <row r="889" spans="1:4">
      <c r="A889" s="2" t="s">
        <v>3248</v>
      </c>
      <c r="B889" t="s">
        <v>1688</v>
      </c>
      <c r="C889" t="s">
        <v>1661</v>
      </c>
      <c r="D889" t="s">
        <v>1670</v>
      </c>
    </row>
    <row r="890" spans="1:4">
      <c r="A890" s="2" t="s">
        <v>3261</v>
      </c>
      <c r="B890" t="s">
        <v>1688</v>
      </c>
      <c r="C890" t="s">
        <v>1668</v>
      </c>
      <c r="D890" t="s">
        <v>1670</v>
      </c>
    </row>
    <row r="891" spans="1:4">
      <c r="A891" s="2" t="s">
        <v>3255</v>
      </c>
      <c r="B891" t="s">
        <v>1688</v>
      </c>
      <c r="C891" t="s">
        <v>1661</v>
      </c>
      <c r="D891" t="s">
        <v>1670</v>
      </c>
    </row>
    <row r="892" spans="1:4">
      <c r="A892" s="2" t="s">
        <v>3259</v>
      </c>
      <c r="B892" t="s">
        <v>1688</v>
      </c>
      <c r="C892" t="s">
        <v>1665</v>
      </c>
      <c r="D892" t="s">
        <v>1670</v>
      </c>
    </row>
    <row r="893" spans="1:4">
      <c r="A893" s="2" t="s">
        <v>3262</v>
      </c>
      <c r="B893" t="s">
        <v>1688</v>
      </c>
      <c r="C893" t="s">
        <v>1668</v>
      </c>
      <c r="D893" t="s">
        <v>1670</v>
      </c>
    </row>
    <row r="894" spans="1:4">
      <c r="A894" s="2" t="s">
        <v>3266</v>
      </c>
      <c r="B894" t="s">
        <v>1688</v>
      </c>
      <c r="C894" t="s">
        <v>1665</v>
      </c>
      <c r="D894" t="s">
        <v>1670</v>
      </c>
    </row>
    <row r="895" spans="1:4">
      <c r="A895" s="2" t="s">
        <v>3269</v>
      </c>
      <c r="B895" t="s">
        <v>1689</v>
      </c>
      <c r="C895" t="s">
        <v>1665</v>
      </c>
      <c r="D895" t="s">
        <v>1670</v>
      </c>
    </row>
    <row r="896" spans="1:4">
      <c r="A896" t="s">
        <v>3279</v>
      </c>
      <c r="B896" t="s">
        <v>1689</v>
      </c>
      <c r="C896" t="s">
        <v>1665</v>
      </c>
      <c r="D896" t="s">
        <v>1670</v>
      </c>
    </row>
    <row r="897" spans="1:4">
      <c r="A897" s="2" t="s">
        <v>3281</v>
      </c>
      <c r="B897" t="s">
        <v>1689</v>
      </c>
      <c r="C897" t="s">
        <v>1665</v>
      </c>
      <c r="D897" t="s">
        <v>1670</v>
      </c>
    </row>
    <row r="898" spans="1:4">
      <c r="A898" s="2" t="s">
        <v>3285</v>
      </c>
      <c r="B898" t="s">
        <v>1689</v>
      </c>
      <c r="C898" t="s">
        <v>1665</v>
      </c>
      <c r="D898" t="s">
        <v>1670</v>
      </c>
    </row>
    <row r="899" spans="1:4">
      <c r="A899" s="2" t="s">
        <v>3289</v>
      </c>
      <c r="B899" t="s">
        <v>1689</v>
      </c>
      <c r="C899" t="s">
        <v>1665</v>
      </c>
      <c r="D899" t="s">
        <v>1670</v>
      </c>
    </row>
    <row r="900" spans="1:4">
      <c r="A900" t="s">
        <v>3291</v>
      </c>
      <c r="B900" t="s">
        <v>1689</v>
      </c>
      <c r="C900" t="s">
        <v>1665</v>
      </c>
      <c r="D900" t="s">
        <v>1670</v>
      </c>
    </row>
    <row r="901" spans="1:4">
      <c r="A901" s="2" t="s">
        <v>3292</v>
      </c>
      <c r="B901" t="s">
        <v>1689</v>
      </c>
      <c r="C901" t="s">
        <v>1665</v>
      </c>
      <c r="D901" t="s">
        <v>1670</v>
      </c>
    </row>
    <row r="902" spans="1:4">
      <c r="A902" s="2" t="s">
        <v>3303</v>
      </c>
      <c r="B902" t="s">
        <v>1689</v>
      </c>
      <c r="C902" t="s">
        <v>1665</v>
      </c>
      <c r="D902" t="s">
        <v>1670</v>
      </c>
    </row>
    <row r="903" spans="1:4">
      <c r="A903" s="2" t="s">
        <v>3302</v>
      </c>
      <c r="B903" t="s">
        <v>1689</v>
      </c>
      <c r="C903" t="s">
        <v>1665</v>
      </c>
      <c r="D903" t="s">
        <v>1670</v>
      </c>
    </row>
    <row r="904" spans="1:4">
      <c r="A904" s="2" t="s">
        <v>3298</v>
      </c>
      <c r="B904" t="s">
        <v>1689</v>
      </c>
      <c r="C904" t="s">
        <v>1665</v>
      </c>
      <c r="D904" t="s">
        <v>1670</v>
      </c>
    </row>
    <row r="905" spans="1:4">
      <c r="A905" s="2" t="s">
        <v>3304</v>
      </c>
      <c r="B905" t="s">
        <v>1689</v>
      </c>
      <c r="C905" t="s">
        <v>1665</v>
      </c>
      <c r="D905" t="s">
        <v>1670</v>
      </c>
    </row>
    <row r="906" spans="1:4">
      <c r="A906" s="2" t="s">
        <v>3307</v>
      </c>
      <c r="B906" t="s">
        <v>1689</v>
      </c>
      <c r="C906" t="s">
        <v>1665</v>
      </c>
      <c r="D906" t="s">
        <v>1670</v>
      </c>
    </row>
    <row r="907" spans="1:4">
      <c r="A907" s="2" t="s">
        <v>3316</v>
      </c>
      <c r="B907" t="s">
        <v>1689</v>
      </c>
      <c r="C907" t="s">
        <v>1665</v>
      </c>
      <c r="D907" t="s">
        <v>1670</v>
      </c>
    </row>
    <row r="908" spans="1:4">
      <c r="A908" s="2" t="s">
        <v>3319</v>
      </c>
      <c r="B908" t="s">
        <v>1689</v>
      </c>
      <c r="C908" t="s">
        <v>1665</v>
      </c>
      <c r="D908" t="s">
        <v>1670</v>
      </c>
    </row>
    <row r="909" spans="1:4">
      <c r="A909" s="2" t="s">
        <v>3322</v>
      </c>
      <c r="B909" t="s">
        <v>1689</v>
      </c>
      <c r="C909" t="s">
        <v>1665</v>
      </c>
      <c r="D909" t="s">
        <v>1670</v>
      </c>
    </row>
    <row r="910" spans="1:4">
      <c r="A910" s="2" t="s">
        <v>3325</v>
      </c>
      <c r="B910" t="s">
        <v>1688</v>
      </c>
      <c r="C910" t="s">
        <v>1667</v>
      </c>
      <c r="D910" t="s">
        <v>3326</v>
      </c>
    </row>
    <row r="911" spans="1:4">
      <c r="A911" s="2" t="s">
        <v>3328</v>
      </c>
      <c r="B911" t="s">
        <v>1688</v>
      </c>
      <c r="C911" t="s">
        <v>1667</v>
      </c>
      <c r="D911" t="s">
        <v>3326</v>
      </c>
    </row>
    <row r="912" spans="1:4">
      <c r="A912" s="2" t="s">
        <v>3330</v>
      </c>
      <c r="B912" t="s">
        <v>1688</v>
      </c>
      <c r="C912" t="s">
        <v>1667</v>
      </c>
      <c r="D912" t="s">
        <v>3326</v>
      </c>
    </row>
    <row r="913" spans="1:4">
      <c r="A913" s="2" t="s">
        <v>3331</v>
      </c>
      <c r="B913" t="s">
        <v>1688</v>
      </c>
      <c r="C913" t="s">
        <v>1667</v>
      </c>
      <c r="D913" t="s">
        <v>3326</v>
      </c>
    </row>
    <row r="914" spans="1:4">
      <c r="A914" s="2" t="s">
        <v>3334</v>
      </c>
      <c r="B914" t="s">
        <v>1688</v>
      </c>
      <c r="C914" t="s">
        <v>1667</v>
      </c>
      <c r="D914" t="s">
        <v>3326</v>
      </c>
    </row>
    <row r="915" spans="1:4">
      <c r="A915" s="2" t="s">
        <v>3335</v>
      </c>
      <c r="B915" t="s">
        <v>1688</v>
      </c>
      <c r="C915" t="s">
        <v>1667</v>
      </c>
      <c r="D915" t="s">
        <v>3326</v>
      </c>
    </row>
    <row r="916" spans="1:4">
      <c r="A916" s="2" t="s">
        <v>3338</v>
      </c>
      <c r="B916" t="s">
        <v>1688</v>
      </c>
      <c r="C916" t="s">
        <v>1667</v>
      </c>
      <c r="D916" t="s">
        <v>1670</v>
      </c>
    </row>
    <row r="917" spans="1:4">
      <c r="A917" s="2" t="s">
        <v>3339</v>
      </c>
      <c r="B917" t="s">
        <v>1688</v>
      </c>
      <c r="C917" t="s">
        <v>1667</v>
      </c>
      <c r="D917" t="s">
        <v>3326</v>
      </c>
    </row>
    <row r="918" spans="1:4">
      <c r="A918" s="2" t="s">
        <v>3342</v>
      </c>
      <c r="B918" t="s">
        <v>1688</v>
      </c>
      <c r="C918" t="s">
        <v>1667</v>
      </c>
      <c r="D918" t="s">
        <v>3326</v>
      </c>
    </row>
    <row r="919" spans="1:4">
      <c r="A919" s="2" t="s">
        <v>3344</v>
      </c>
      <c r="B919" t="s">
        <v>1688</v>
      </c>
      <c r="C919" t="s">
        <v>1667</v>
      </c>
      <c r="D919" t="s">
        <v>3326</v>
      </c>
    </row>
    <row r="920" spans="1:4">
      <c r="A920" s="2" t="s">
        <v>3346</v>
      </c>
      <c r="B920" t="s">
        <v>1688</v>
      </c>
      <c r="C920" t="s">
        <v>1667</v>
      </c>
      <c r="D920" t="s">
        <v>3326</v>
      </c>
    </row>
    <row r="921" spans="1:4">
      <c r="A921" s="2" t="s">
        <v>3348</v>
      </c>
      <c r="B921" t="s">
        <v>1688</v>
      </c>
      <c r="C921" t="s">
        <v>1667</v>
      </c>
      <c r="D921" t="s">
        <v>3326</v>
      </c>
    </row>
    <row r="922" spans="1:4">
      <c r="A922" s="2" t="s">
        <v>3350</v>
      </c>
      <c r="B922" t="s">
        <v>1688</v>
      </c>
      <c r="C922" t="s">
        <v>1667</v>
      </c>
      <c r="D922" t="s">
        <v>3326</v>
      </c>
    </row>
    <row r="923" spans="1:4">
      <c r="A923" s="2" t="s">
        <v>3352</v>
      </c>
      <c r="B923" t="s">
        <v>1688</v>
      </c>
      <c r="C923" t="s">
        <v>1667</v>
      </c>
      <c r="D923" t="s">
        <v>3326</v>
      </c>
    </row>
    <row r="924" spans="1:4">
      <c r="A924" s="2" t="s">
        <v>3353</v>
      </c>
      <c r="B924" t="s">
        <v>1688</v>
      </c>
      <c r="C924" t="s">
        <v>1667</v>
      </c>
      <c r="D924" t="s">
        <v>3326</v>
      </c>
    </row>
    <row r="925" spans="1:4">
      <c r="A925" s="2" t="s">
        <v>3358</v>
      </c>
      <c r="B925" t="s">
        <v>1688</v>
      </c>
      <c r="C925" t="s">
        <v>1667</v>
      </c>
      <c r="D925" t="s">
        <v>3326</v>
      </c>
    </row>
    <row r="926" spans="1:4">
      <c r="A926" s="2" t="s">
        <v>3360</v>
      </c>
      <c r="B926" t="s">
        <v>1688</v>
      </c>
      <c r="C926" t="s">
        <v>1667</v>
      </c>
      <c r="D926" t="s">
        <v>3326</v>
      </c>
    </row>
    <row r="927" spans="1:4">
      <c r="A927" s="2" t="s">
        <v>3361</v>
      </c>
      <c r="B927" t="s">
        <v>1688</v>
      </c>
      <c r="C927" t="s">
        <v>1667</v>
      </c>
      <c r="D927" t="s">
        <v>3326</v>
      </c>
    </row>
    <row r="928" spans="1:4">
      <c r="A928" s="2" t="s">
        <v>3363</v>
      </c>
      <c r="B928" t="s">
        <v>1688</v>
      </c>
      <c r="C928" t="s">
        <v>1667</v>
      </c>
      <c r="D928" t="s">
        <v>3326</v>
      </c>
    </row>
    <row r="929" spans="1:4">
      <c r="A929" t="s">
        <v>3365</v>
      </c>
      <c r="B929" t="s">
        <v>1688</v>
      </c>
      <c r="C929" t="s">
        <v>1667</v>
      </c>
      <c r="D929" t="s">
        <v>3326</v>
      </c>
    </row>
    <row r="930" spans="1:4">
      <c r="A930" t="s">
        <v>3366</v>
      </c>
      <c r="B930" t="s">
        <v>1688</v>
      </c>
      <c r="C930" t="s">
        <v>1667</v>
      </c>
      <c r="D930" t="s">
        <v>3326</v>
      </c>
    </row>
    <row r="931" spans="1:4">
      <c r="A931" s="2" t="s">
        <v>3374</v>
      </c>
      <c r="B931" t="s">
        <v>1688</v>
      </c>
      <c r="C931" t="s">
        <v>1667</v>
      </c>
      <c r="D931" t="s">
        <v>3326</v>
      </c>
    </row>
    <row r="932" spans="1:4">
      <c r="A932" s="2" t="s">
        <v>3375</v>
      </c>
      <c r="B932" t="s">
        <v>1688</v>
      </c>
      <c r="C932" t="s">
        <v>1667</v>
      </c>
      <c r="D932" t="s">
        <v>3326</v>
      </c>
    </row>
    <row r="933" spans="1:4">
      <c r="A933" s="2" t="s">
        <v>3377</v>
      </c>
      <c r="B933" t="s">
        <v>1688</v>
      </c>
      <c r="C933" t="s">
        <v>1667</v>
      </c>
      <c r="D933" t="s">
        <v>3326</v>
      </c>
    </row>
    <row r="934" spans="1:4">
      <c r="A934" s="2" t="s">
        <v>3380</v>
      </c>
      <c r="B934" t="s">
        <v>1688</v>
      </c>
      <c r="C934" t="s">
        <v>1661</v>
      </c>
      <c r="D934" t="s">
        <v>1670</v>
      </c>
    </row>
    <row r="935" spans="1:4">
      <c r="A935" s="2" t="s">
        <v>3383</v>
      </c>
      <c r="B935" t="s">
        <v>1688</v>
      </c>
      <c r="C935" t="s">
        <v>1665</v>
      </c>
      <c r="D935" t="s">
        <v>1670</v>
      </c>
    </row>
    <row r="936" spans="1:4">
      <c r="A936" s="2" t="s">
        <v>3385</v>
      </c>
      <c r="B936" t="s">
        <v>1688</v>
      </c>
      <c r="C936" t="s">
        <v>1665</v>
      </c>
      <c r="D936" t="s">
        <v>1670</v>
      </c>
    </row>
    <row r="937" spans="1:4">
      <c r="A937" s="2" t="s">
        <v>3389</v>
      </c>
      <c r="B937" t="s">
        <v>1688</v>
      </c>
      <c r="C937" t="s">
        <v>1665</v>
      </c>
      <c r="D937" t="s">
        <v>1670</v>
      </c>
    </row>
    <row r="938" spans="1:4">
      <c r="A938" s="2" t="s">
        <v>3393</v>
      </c>
      <c r="B938" t="s">
        <v>1688</v>
      </c>
      <c r="C938" t="s">
        <v>1665</v>
      </c>
      <c r="D938" t="s">
        <v>1672</v>
      </c>
    </row>
    <row r="939" spans="1:4">
      <c r="A939" s="2" t="s">
        <v>3396</v>
      </c>
      <c r="B939" t="s">
        <v>1688</v>
      </c>
      <c r="C939" t="s">
        <v>1661</v>
      </c>
      <c r="D939" t="s">
        <v>1670</v>
      </c>
    </row>
    <row r="940" spans="1:4">
      <c r="A940" t="s">
        <v>3406</v>
      </c>
      <c r="B940" t="s">
        <v>1688</v>
      </c>
      <c r="C940" t="s">
        <v>1665</v>
      </c>
      <c r="D940" t="s">
        <v>1674</v>
      </c>
    </row>
    <row r="941" spans="1:4">
      <c r="A941" t="s">
        <v>3410</v>
      </c>
      <c r="B941" t="s">
        <v>1689</v>
      </c>
      <c r="C941" t="s">
        <v>1662</v>
      </c>
      <c r="D941" t="s">
        <v>1670</v>
      </c>
    </row>
    <row r="942" spans="1:4">
      <c r="A942" s="2" t="s">
        <v>3413</v>
      </c>
      <c r="B942" t="s">
        <v>1688</v>
      </c>
      <c r="C942" t="s">
        <v>1661</v>
      </c>
      <c r="D942" t="s">
        <v>1670</v>
      </c>
    </row>
    <row r="943" spans="1:4">
      <c r="A943" s="2" t="s">
        <v>3414</v>
      </c>
      <c r="B943" t="s">
        <v>1688</v>
      </c>
      <c r="C943" t="s">
        <v>1661</v>
      </c>
      <c r="D943" t="s">
        <v>1670</v>
      </c>
    </row>
    <row r="944" spans="1:4">
      <c r="A944" s="2" t="s">
        <v>3417</v>
      </c>
      <c r="B944" t="s">
        <v>1688</v>
      </c>
      <c r="C944" t="s">
        <v>1661</v>
      </c>
      <c r="D944" t="s">
        <v>1670</v>
      </c>
    </row>
    <row r="945" spans="1:4">
      <c r="A945" s="2" t="s">
        <v>3420</v>
      </c>
      <c r="B945" t="s">
        <v>1688</v>
      </c>
      <c r="C945" t="s">
        <v>1661</v>
      </c>
      <c r="D945" t="s">
        <v>1670</v>
      </c>
    </row>
    <row r="946" spans="1:4">
      <c r="A946" s="2" t="s">
        <v>3422</v>
      </c>
      <c r="B946" t="s">
        <v>1688</v>
      </c>
      <c r="C946" t="s">
        <v>1661</v>
      </c>
      <c r="D946" t="s">
        <v>1670</v>
      </c>
    </row>
    <row r="947" spans="1:4">
      <c r="A947" s="2" t="s">
        <v>3426</v>
      </c>
      <c r="B947" t="s">
        <v>1688</v>
      </c>
      <c r="C947" t="s">
        <v>1668</v>
      </c>
      <c r="D947" t="s">
        <v>1675</v>
      </c>
    </row>
    <row r="948" spans="1:4">
      <c r="A948" s="2" t="s">
        <v>3429</v>
      </c>
      <c r="B948" t="s">
        <v>1688</v>
      </c>
      <c r="C948" t="s">
        <v>1668</v>
      </c>
      <c r="D948" t="s">
        <v>1670</v>
      </c>
    </row>
    <row r="949" spans="1:4">
      <c r="A949" s="2" t="s">
        <v>3430</v>
      </c>
      <c r="B949" t="s">
        <v>1688</v>
      </c>
      <c r="C949" t="s">
        <v>1668</v>
      </c>
      <c r="D949" t="s">
        <v>1670</v>
      </c>
    </row>
    <row r="950" spans="1:4">
      <c r="A950" s="2" t="s">
        <v>3435</v>
      </c>
      <c r="B950" t="s">
        <v>1688</v>
      </c>
      <c r="C950" t="s">
        <v>1661</v>
      </c>
      <c r="D950" t="s">
        <v>1670</v>
      </c>
    </row>
    <row r="951" spans="1:4">
      <c r="A951" s="2" t="s">
        <v>3439</v>
      </c>
      <c r="B951" t="s">
        <v>1688</v>
      </c>
      <c r="C951" t="s">
        <v>1661</v>
      </c>
      <c r="D951" t="s">
        <v>1670</v>
      </c>
    </row>
    <row r="952" spans="1:4">
      <c r="A952" s="2" t="s">
        <v>3440</v>
      </c>
      <c r="B952" t="s">
        <v>1688</v>
      </c>
      <c r="C952" t="s">
        <v>1661</v>
      </c>
      <c r="D952" t="s">
        <v>1670</v>
      </c>
    </row>
    <row r="953" spans="1:4">
      <c r="A953" s="2" t="s">
        <v>3442</v>
      </c>
      <c r="B953" t="s">
        <v>1688</v>
      </c>
      <c r="C953" t="s">
        <v>1661</v>
      </c>
      <c r="D953" t="s">
        <v>1670</v>
      </c>
    </row>
    <row r="954" spans="1:4">
      <c r="A954" s="2" t="s">
        <v>3444</v>
      </c>
      <c r="B954" t="s">
        <v>1688</v>
      </c>
      <c r="C954" t="s">
        <v>1661</v>
      </c>
      <c r="D954" t="s">
        <v>1670</v>
      </c>
    </row>
    <row r="955" spans="1:4">
      <c r="A955" s="2" t="s">
        <v>3446</v>
      </c>
      <c r="B955" t="s">
        <v>1688</v>
      </c>
      <c r="C955" t="s">
        <v>1661</v>
      </c>
      <c r="D955" t="s">
        <v>1670</v>
      </c>
    </row>
    <row r="956" spans="1:4">
      <c r="A956" t="s">
        <v>3448</v>
      </c>
      <c r="B956" t="s">
        <v>1688</v>
      </c>
      <c r="C956" t="s">
        <v>1661</v>
      </c>
      <c r="D956" t="s">
        <v>1670</v>
      </c>
    </row>
    <row r="957" spans="1:4">
      <c r="A957" s="2" t="s">
        <v>3450</v>
      </c>
      <c r="B957" t="s">
        <v>1688</v>
      </c>
      <c r="C957" t="s">
        <v>1661</v>
      </c>
      <c r="D957" t="s">
        <v>1670</v>
      </c>
    </row>
    <row r="958" spans="1:4">
      <c r="A958" s="2" t="s">
        <v>3453</v>
      </c>
      <c r="B958" t="s">
        <v>1688</v>
      </c>
      <c r="C958" t="s">
        <v>1668</v>
      </c>
      <c r="D958" t="s">
        <v>1670</v>
      </c>
    </row>
    <row r="959" spans="1:4">
      <c r="A959" s="2" t="s">
        <v>3454</v>
      </c>
      <c r="B959" t="s">
        <v>1688</v>
      </c>
      <c r="C959" t="s">
        <v>1668</v>
      </c>
      <c r="D959" t="s">
        <v>1672</v>
      </c>
    </row>
    <row r="960" spans="1:4">
      <c r="A960" s="2" t="s">
        <v>3459</v>
      </c>
      <c r="B960" t="s">
        <v>1688</v>
      </c>
      <c r="C960" t="s">
        <v>1668</v>
      </c>
      <c r="D960" t="s">
        <v>1672</v>
      </c>
    </row>
    <row r="961" spans="1:4">
      <c r="A961" s="2" t="s">
        <v>3461</v>
      </c>
      <c r="B961" t="s">
        <v>1688</v>
      </c>
      <c r="C961" t="s">
        <v>1661</v>
      </c>
      <c r="D961" t="s">
        <v>1670</v>
      </c>
    </row>
    <row r="962" spans="1:4">
      <c r="A962" s="2" t="s">
        <v>3464</v>
      </c>
      <c r="B962" t="s">
        <v>1688</v>
      </c>
      <c r="C962" t="s">
        <v>1665</v>
      </c>
      <c r="D962" t="s">
        <v>1670</v>
      </c>
    </row>
    <row r="963" spans="1:4">
      <c r="A963" s="2" t="s">
        <v>3468</v>
      </c>
      <c r="B963" t="s">
        <v>1688</v>
      </c>
      <c r="C963" t="s">
        <v>1667</v>
      </c>
      <c r="D963" t="s">
        <v>3326</v>
      </c>
    </row>
    <row r="964" spans="1:4">
      <c r="A964" s="2" t="s">
        <v>3469</v>
      </c>
      <c r="B964" t="s">
        <v>1688</v>
      </c>
      <c r="C964" t="s">
        <v>1667</v>
      </c>
      <c r="D964" t="s">
        <v>3326</v>
      </c>
    </row>
    <row r="965" spans="1:4">
      <c r="A965" s="2" t="s">
        <v>3482</v>
      </c>
      <c r="B965" t="s">
        <v>1688</v>
      </c>
      <c r="C965" t="s">
        <v>1668</v>
      </c>
      <c r="D965" t="s">
        <v>1670</v>
      </c>
    </row>
    <row r="966" spans="1:4">
      <c r="A966" s="2" t="s">
        <v>3485</v>
      </c>
      <c r="B966" t="s">
        <v>1688</v>
      </c>
      <c r="C966" t="s">
        <v>1668</v>
      </c>
      <c r="D966" t="s">
        <v>1670</v>
      </c>
    </row>
    <row r="967" spans="1:4">
      <c r="A967" s="2" t="s">
        <v>3488</v>
      </c>
      <c r="B967" t="s">
        <v>1688</v>
      </c>
      <c r="C967" t="s">
        <v>1668</v>
      </c>
      <c r="D967" t="s">
        <v>1670</v>
      </c>
    </row>
    <row r="968" spans="1:4">
      <c r="A968" s="2" t="s">
        <v>3491</v>
      </c>
      <c r="B968" t="s">
        <v>1688</v>
      </c>
      <c r="C968" t="s">
        <v>1661</v>
      </c>
      <c r="D968" t="s">
        <v>1670</v>
      </c>
    </row>
    <row r="969" spans="1:4">
      <c r="A969" s="2" t="s">
        <v>3494</v>
      </c>
      <c r="B969" t="s">
        <v>1688</v>
      </c>
      <c r="C969" t="s">
        <v>1661</v>
      </c>
      <c r="D969" t="s">
        <v>1670</v>
      </c>
    </row>
    <row r="970" spans="1:4">
      <c r="A970" s="2" t="s">
        <v>3496</v>
      </c>
      <c r="B970" t="s">
        <v>1688</v>
      </c>
      <c r="C970" t="s">
        <v>1668</v>
      </c>
      <c r="D970" t="s">
        <v>1670</v>
      </c>
    </row>
    <row r="971" spans="1:4">
      <c r="A971" t="s">
        <v>3501</v>
      </c>
      <c r="B971" t="s">
        <v>1688</v>
      </c>
      <c r="C971" t="s">
        <v>1662</v>
      </c>
      <c r="D971" t="s">
        <v>1672</v>
      </c>
    </row>
    <row r="972" spans="1:4">
      <c r="A972" s="2" t="s">
        <v>3503</v>
      </c>
      <c r="B972" t="s">
        <v>1688</v>
      </c>
      <c r="C972" t="s">
        <v>1668</v>
      </c>
      <c r="D972" t="s">
        <v>1672</v>
      </c>
    </row>
    <row r="973" spans="1:4">
      <c r="A973" s="2" t="s">
        <v>3506</v>
      </c>
      <c r="B973" t="s">
        <v>1688</v>
      </c>
      <c r="C973" t="s">
        <v>1668</v>
      </c>
      <c r="D973" t="s">
        <v>1672</v>
      </c>
    </row>
    <row r="974" spans="1:4">
      <c r="A974" s="2" t="s">
        <v>3511</v>
      </c>
      <c r="B974" t="s">
        <v>1688</v>
      </c>
      <c r="C974" t="s">
        <v>1665</v>
      </c>
      <c r="D974" t="s">
        <v>1670</v>
      </c>
    </row>
    <row r="975" spans="1:4">
      <c r="A975" s="2" t="s">
        <v>3526</v>
      </c>
      <c r="B975" t="s">
        <v>1688</v>
      </c>
      <c r="C975" t="s">
        <v>1668</v>
      </c>
      <c r="D975" t="s">
        <v>1674</v>
      </c>
    </row>
    <row r="976" spans="1:4">
      <c r="A976" s="2" t="s">
        <v>3527</v>
      </c>
      <c r="B976" t="s">
        <v>1688</v>
      </c>
      <c r="C976" t="s">
        <v>1668</v>
      </c>
      <c r="D976" t="s">
        <v>1674</v>
      </c>
    </row>
    <row r="977" spans="1:4">
      <c r="A977" s="2" t="s">
        <v>3530</v>
      </c>
      <c r="B977" t="s">
        <v>1688</v>
      </c>
      <c r="C977" t="s">
        <v>1661</v>
      </c>
      <c r="D977" t="s">
        <v>1670</v>
      </c>
    </row>
    <row r="978" spans="1:4">
      <c r="A978" s="2" t="s">
        <v>3532</v>
      </c>
      <c r="B978" t="s">
        <v>1690</v>
      </c>
      <c r="C978" t="s">
        <v>1665</v>
      </c>
      <c r="D978" t="s">
        <v>1674</v>
      </c>
    </row>
    <row r="979" spans="1:4">
      <c r="A979" s="2" t="s">
        <v>3535</v>
      </c>
      <c r="B979" t="s">
        <v>1688</v>
      </c>
      <c r="C979" t="s">
        <v>1661</v>
      </c>
      <c r="D979" t="s">
        <v>1670</v>
      </c>
    </row>
    <row r="980" spans="1:4">
      <c r="A980" s="2" t="s">
        <v>3539</v>
      </c>
      <c r="B980" t="s">
        <v>1688</v>
      </c>
      <c r="C980" t="s">
        <v>1665</v>
      </c>
      <c r="D980" t="s">
        <v>1670</v>
      </c>
    </row>
    <row r="981" spans="1:4">
      <c r="A981" s="2" t="s">
        <v>3541</v>
      </c>
      <c r="B981" t="s">
        <v>1688</v>
      </c>
      <c r="C981" t="s">
        <v>1661</v>
      </c>
      <c r="D981" t="s">
        <v>1670</v>
      </c>
    </row>
    <row r="982" spans="1:4">
      <c r="A982" s="2" t="s">
        <v>3547</v>
      </c>
      <c r="B982" t="s">
        <v>1688</v>
      </c>
      <c r="C982" t="s">
        <v>1661</v>
      </c>
      <c r="D982" t="s">
        <v>1670</v>
      </c>
    </row>
    <row r="983" spans="1:4">
      <c r="A983" s="2" t="s">
        <v>3550</v>
      </c>
      <c r="B983" t="s">
        <v>1688</v>
      </c>
      <c r="C983" t="s">
        <v>1661</v>
      </c>
      <c r="D983" t="s">
        <v>1670</v>
      </c>
    </row>
    <row r="984" spans="1:4">
      <c r="A984" s="2" t="s">
        <v>3553</v>
      </c>
      <c r="B984" t="s">
        <v>1688</v>
      </c>
      <c r="C984" t="s">
        <v>1661</v>
      </c>
      <c r="D984" t="s">
        <v>1670</v>
      </c>
    </row>
    <row r="985" spans="1:4">
      <c r="A985" s="2" t="s">
        <v>3556</v>
      </c>
      <c r="B985" t="s">
        <v>1688</v>
      </c>
      <c r="C985" t="s">
        <v>1665</v>
      </c>
      <c r="D985" t="s">
        <v>1674</v>
      </c>
    </row>
    <row r="986" spans="1:4">
      <c r="B986" t="s">
        <v>1688</v>
      </c>
      <c r="C986" t="s">
        <v>1661</v>
      </c>
      <c r="D986" t="s">
        <v>1670</v>
      </c>
    </row>
    <row r="987" spans="1:4">
      <c r="B987" t="s">
        <v>1688</v>
      </c>
      <c r="C987" t="s">
        <v>1661</v>
      </c>
      <c r="D987" t="s">
        <v>1670</v>
      </c>
    </row>
    <row r="988" spans="1:4">
      <c r="B988" t="s">
        <v>1688</v>
      </c>
      <c r="C988" t="s">
        <v>1661</v>
      </c>
      <c r="D988" t="s">
        <v>1670</v>
      </c>
    </row>
    <row r="989" spans="1:4">
      <c r="B989" t="s">
        <v>1688</v>
      </c>
      <c r="C989" t="s">
        <v>1661</v>
      </c>
      <c r="D989" t="s">
        <v>1670</v>
      </c>
    </row>
    <row r="990" spans="1:4">
      <c r="B990" t="s">
        <v>1688</v>
      </c>
      <c r="C990" t="s">
        <v>1661</v>
      </c>
      <c r="D990" t="s">
        <v>1670</v>
      </c>
    </row>
    <row r="991" spans="1:4">
      <c r="B991" t="s">
        <v>1688</v>
      </c>
      <c r="C991" t="s">
        <v>1661</v>
      </c>
      <c r="D991" t="s">
        <v>1670</v>
      </c>
    </row>
    <row r="992" spans="1:4">
      <c r="B992" t="s">
        <v>1688</v>
      </c>
      <c r="C992" t="s">
        <v>1661</v>
      </c>
      <c r="D992" t="s">
        <v>1670</v>
      </c>
    </row>
    <row r="993" spans="2:4">
      <c r="B993" t="s">
        <v>1688</v>
      </c>
      <c r="C993" t="s">
        <v>1661</v>
      </c>
      <c r="D993" t="s">
        <v>1670</v>
      </c>
    </row>
    <row r="994" spans="2:4">
      <c r="B994" t="s">
        <v>1688</v>
      </c>
      <c r="C994" t="s">
        <v>1661</v>
      </c>
      <c r="D994" t="s">
        <v>1670</v>
      </c>
    </row>
    <row r="995" spans="2:4">
      <c r="B995" t="s">
        <v>1688</v>
      </c>
      <c r="C995" t="s">
        <v>1661</v>
      </c>
      <c r="D995" t="s">
        <v>1670</v>
      </c>
    </row>
    <row r="996" spans="2:4">
      <c r="B996" t="s">
        <v>1688</v>
      </c>
      <c r="C996" t="s">
        <v>1661</v>
      </c>
      <c r="D996" t="s">
        <v>1670</v>
      </c>
    </row>
    <row r="997" spans="2:4">
      <c r="B997" t="s">
        <v>1688</v>
      </c>
      <c r="C997" t="s">
        <v>1661</v>
      </c>
      <c r="D997" t="s">
        <v>1670</v>
      </c>
    </row>
    <row r="998" spans="2:4">
      <c r="B998" t="s">
        <v>1688</v>
      </c>
      <c r="C998" t="s">
        <v>1661</v>
      </c>
      <c r="D998" t="s">
        <v>1670</v>
      </c>
    </row>
    <row r="999" spans="2:4">
      <c r="B999" t="s">
        <v>1688</v>
      </c>
      <c r="C999" t="s">
        <v>1661</v>
      </c>
      <c r="D999" t="s">
        <v>1670</v>
      </c>
    </row>
    <row r="1000" spans="2:4">
      <c r="B1000" t="s">
        <v>1688</v>
      </c>
      <c r="C1000" t="s">
        <v>1661</v>
      </c>
      <c r="D1000" t="s">
        <v>1670</v>
      </c>
    </row>
    <row r="1001" spans="2:4">
      <c r="B1001" t="s">
        <v>1688</v>
      </c>
      <c r="C1001" t="s">
        <v>1661</v>
      </c>
      <c r="D1001" t="s">
        <v>1670</v>
      </c>
    </row>
    <row r="1002" spans="2:4">
      <c r="B1002" t="s">
        <v>1688</v>
      </c>
      <c r="C1002" t="s">
        <v>1661</v>
      </c>
      <c r="D1002" t="s">
        <v>1670</v>
      </c>
    </row>
    <row r="1003" spans="2:4">
      <c r="B1003" t="s">
        <v>1688</v>
      </c>
      <c r="C1003" t="s">
        <v>1661</v>
      </c>
      <c r="D1003" t="s">
        <v>1670</v>
      </c>
    </row>
    <row r="1004" spans="2:4">
      <c r="B1004" t="s">
        <v>1688</v>
      </c>
      <c r="C1004" t="s">
        <v>1661</v>
      </c>
      <c r="D1004" t="s">
        <v>1670</v>
      </c>
    </row>
    <row r="1005" spans="2:4">
      <c r="B1005" t="s">
        <v>1688</v>
      </c>
      <c r="C1005" t="s">
        <v>1661</v>
      </c>
      <c r="D1005" t="s">
        <v>1670</v>
      </c>
    </row>
    <row r="1006" spans="2:4">
      <c r="B1006" t="s">
        <v>1688</v>
      </c>
      <c r="C1006" t="s">
        <v>1661</v>
      </c>
      <c r="D1006" t="s">
        <v>1670</v>
      </c>
    </row>
    <row r="1007" spans="2:4">
      <c r="B1007" t="s">
        <v>1688</v>
      </c>
      <c r="C1007" t="s">
        <v>1661</v>
      </c>
      <c r="D1007" t="s">
        <v>1670</v>
      </c>
    </row>
    <row r="1008" spans="2:4">
      <c r="B1008" t="s">
        <v>1688</v>
      </c>
      <c r="C1008" t="s">
        <v>1661</v>
      </c>
      <c r="D1008" t="s">
        <v>1670</v>
      </c>
    </row>
    <row r="1009" spans="2:4">
      <c r="B1009" t="s">
        <v>1688</v>
      </c>
      <c r="C1009" t="s">
        <v>1661</v>
      </c>
      <c r="D1009" t="s">
        <v>1670</v>
      </c>
    </row>
    <row r="1010" spans="2:4">
      <c r="B1010" t="s">
        <v>1688</v>
      </c>
      <c r="C1010" t="s">
        <v>1661</v>
      </c>
      <c r="D1010" t="s">
        <v>1670</v>
      </c>
    </row>
    <row r="1011" spans="2:4">
      <c r="B1011" t="s">
        <v>1688</v>
      </c>
      <c r="C1011" t="s">
        <v>1661</v>
      </c>
      <c r="D1011" t="s">
        <v>1670</v>
      </c>
    </row>
    <row r="1012" spans="2:4">
      <c r="B1012" t="s">
        <v>1688</v>
      </c>
      <c r="C1012" t="s">
        <v>1661</v>
      </c>
      <c r="D1012" t="s">
        <v>1670</v>
      </c>
    </row>
    <row r="1013" spans="2:4">
      <c r="B1013" t="s">
        <v>1688</v>
      </c>
      <c r="C1013" t="s">
        <v>1661</v>
      </c>
      <c r="D1013" t="s">
        <v>1670</v>
      </c>
    </row>
    <row r="1014" spans="2:4">
      <c r="B1014" t="s">
        <v>1688</v>
      </c>
      <c r="C1014" t="s">
        <v>1661</v>
      </c>
      <c r="D1014" t="s">
        <v>1670</v>
      </c>
    </row>
    <row r="1015" spans="2:4">
      <c r="B1015" t="s">
        <v>1688</v>
      </c>
      <c r="C1015" t="s">
        <v>1661</v>
      </c>
      <c r="D1015" t="s">
        <v>1670</v>
      </c>
    </row>
    <row r="1016" spans="2:4">
      <c r="B1016" t="s">
        <v>1688</v>
      </c>
      <c r="C1016" t="s">
        <v>1661</v>
      </c>
      <c r="D1016" t="s">
        <v>1670</v>
      </c>
    </row>
    <row r="1017" spans="2:4">
      <c r="B1017" t="s">
        <v>1688</v>
      </c>
      <c r="C1017" t="s">
        <v>1661</v>
      </c>
      <c r="D1017" t="s">
        <v>1670</v>
      </c>
    </row>
    <row r="1018" spans="2:4">
      <c r="B1018" t="s">
        <v>1688</v>
      </c>
      <c r="C1018" t="s">
        <v>1661</v>
      </c>
      <c r="D1018" t="s">
        <v>1670</v>
      </c>
    </row>
    <row r="1019" spans="2:4">
      <c r="B1019" t="s">
        <v>1688</v>
      </c>
      <c r="C1019" t="s">
        <v>1661</v>
      </c>
      <c r="D1019" t="s">
        <v>1670</v>
      </c>
    </row>
    <row r="1020" spans="2:4">
      <c r="B1020" t="s">
        <v>1688</v>
      </c>
      <c r="C1020" t="s">
        <v>1661</v>
      </c>
      <c r="D1020" t="s">
        <v>1670</v>
      </c>
    </row>
    <row r="1021" spans="2:4">
      <c r="B1021" t="s">
        <v>1688</v>
      </c>
      <c r="C1021" t="s">
        <v>1661</v>
      </c>
      <c r="D1021" t="s">
        <v>1670</v>
      </c>
    </row>
    <row r="1022" spans="2:4">
      <c r="B1022" t="s">
        <v>1688</v>
      </c>
      <c r="C1022" t="s">
        <v>1661</v>
      </c>
      <c r="D1022" t="s">
        <v>1670</v>
      </c>
    </row>
    <row r="1023" spans="2:4">
      <c r="B1023" t="s">
        <v>1688</v>
      </c>
      <c r="C1023" t="s">
        <v>1661</v>
      </c>
      <c r="D1023" t="s">
        <v>1670</v>
      </c>
    </row>
    <row r="1024" spans="2:4">
      <c r="B1024" t="s">
        <v>1688</v>
      </c>
      <c r="C1024" t="s">
        <v>1661</v>
      </c>
      <c r="D1024" t="s">
        <v>1670</v>
      </c>
    </row>
    <row r="1025" spans="2:4">
      <c r="B1025" t="s">
        <v>1688</v>
      </c>
      <c r="C1025" t="s">
        <v>1661</v>
      </c>
      <c r="D1025" t="s">
        <v>1670</v>
      </c>
    </row>
    <row r="1026" spans="2:4">
      <c r="B1026" t="s">
        <v>1688</v>
      </c>
      <c r="C1026" t="s">
        <v>1661</v>
      </c>
      <c r="D1026" t="s">
        <v>1670</v>
      </c>
    </row>
    <row r="1027" spans="2:4">
      <c r="B1027" t="s">
        <v>1688</v>
      </c>
      <c r="C1027" t="s">
        <v>1661</v>
      </c>
      <c r="D1027" t="s">
        <v>1670</v>
      </c>
    </row>
  </sheetData>
  <conditionalFormatting sqref="A893:A940">
    <cfRule type="containsText" dxfId="46" priority="34" operator="containsText" text=" ">
      <formula>NOT(ISERROR(SEARCH(" ",A893)))</formula>
    </cfRule>
  </conditionalFormatting>
  <conditionalFormatting sqref="A942:A943">
    <cfRule type="containsText" dxfId="45" priority="32" operator="containsText" text=" ">
      <formula>NOT(ISERROR(SEARCH(" ",A942)))</formula>
    </cfRule>
  </conditionalFormatting>
  <conditionalFormatting sqref="A946:A950">
    <cfRule type="containsText" dxfId="44" priority="29" operator="containsText" text=" ">
      <formula>NOT(ISERROR(SEARCH(" ",A946)))</formula>
    </cfRule>
  </conditionalFormatting>
  <conditionalFormatting sqref="A952:A953">
    <cfRule type="containsText" dxfId="43" priority="27" operator="containsText" text=" ">
      <formula>NOT(ISERROR(SEARCH(" ",A952)))</formula>
    </cfRule>
  </conditionalFormatting>
  <conditionalFormatting sqref="A956:A971">
    <cfRule type="containsText" dxfId="42" priority="10" operator="containsText" text=" ">
      <formula>NOT(ISERROR(SEARCH(" ",A956)))</formula>
    </cfRule>
  </conditionalFormatting>
  <conditionalFormatting sqref="A974:A977">
    <cfRule type="containsText" dxfId="41" priority="6" operator="containsText" text=" ">
      <formula>NOT(ISERROR(SEARCH(" ",A974)))</formula>
    </cfRule>
  </conditionalFormatting>
  <conditionalFormatting sqref="A979:A982">
    <cfRule type="containsText" dxfId="40" priority="2" operator="containsText" text=" ">
      <formula>NOT(ISERROR(SEARCH(" ",A979)))</formula>
    </cfRule>
  </conditionalFormatting>
  <conditionalFormatting sqref="B1:C1048576">
    <cfRule type="containsText" dxfId="39" priority="83" operator="containsText" text="FALSE">
      <formula>NOT(ISERROR(SEARCH("FALSE",B1)))</formula>
    </cfRule>
  </conditionalFormatting>
  <conditionalFormatting sqref="A985">
    <cfRule type="containsText" dxfId="12" priority="1" operator="containsText" text=" ">
      <formula>NOT(ISERROR(SEARCH(" ",A985)))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I4" activePane="bottomRight" state="frozen"/>
      <selection pane="topRight" activeCell="B1" sqref="B1"/>
      <selection pane="bottomLeft" activeCell="A2" sqref="A2"/>
      <selection pane="bottomRight" activeCell="A16" sqref="A16"/>
    </sheetView>
  </sheetViews>
  <sheetFormatPr defaultRowHeight="14.6"/>
  <cols>
    <col min="1" max="1" width="50.69140625" bestFit="1" customWidth="1"/>
    <col min="2" max="2" width="10.69140625" bestFit="1" customWidth="1"/>
    <col min="3" max="3" width="10.69140625" customWidth="1"/>
    <col min="4" max="4" width="10.69140625" bestFit="1" customWidth="1"/>
    <col min="5" max="5" width="16.84375" customWidth="1"/>
    <col min="6" max="7" width="8.84375" style="31" customWidth="1"/>
    <col min="8" max="8" width="28.69140625" style="31" bestFit="1" customWidth="1"/>
    <col min="9" max="10" width="8.84375" customWidth="1"/>
  </cols>
  <sheetData>
    <row r="1" spans="1:17">
      <c r="A1" t="s">
        <v>0</v>
      </c>
      <c r="B1" t="s">
        <v>3392</v>
      </c>
      <c r="C1" t="s">
        <v>888</v>
      </c>
      <c r="D1" t="s">
        <v>2870</v>
      </c>
      <c r="E1" t="s">
        <v>2215</v>
      </c>
      <c r="F1" s="31" t="s">
        <v>676</v>
      </c>
      <c r="G1" s="31" t="s">
        <v>677</v>
      </c>
      <c r="H1" s="31" t="s">
        <v>2871</v>
      </c>
      <c r="I1" t="s">
        <v>872</v>
      </c>
      <c r="J1" t="s">
        <v>877</v>
      </c>
      <c r="K1" t="s">
        <v>870</v>
      </c>
      <c r="L1" t="s">
        <v>875</v>
      </c>
      <c r="M1" t="s">
        <v>869</v>
      </c>
      <c r="N1" t="s">
        <v>873</v>
      </c>
      <c r="O1" t="s">
        <v>874</v>
      </c>
      <c r="P1" t="s">
        <v>876</v>
      </c>
      <c r="Q1" t="s">
        <v>871</v>
      </c>
    </row>
    <row r="2" spans="1:17">
      <c r="A2" t="str" cm="1">
        <f t="array" ref="A2:A985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>OR(ISNUMBER(SEARCH("ALL_REGION",$H2)),
ISNUMBER(SEARCH("AFRICA",$H2)),
ISNUMBER(SEARCH("REGIONTYPE1",$H2)),
ISNUMBER(SEARCH("REGIONTYPE2",$H2)))</f>
        <v>1</v>
      </c>
      <c r="J2" t="b">
        <f>OR(ISNUMBER(SEARCH("ALL_REGION",$H2)),
ISNUMBER(SEARCH("ASIA",$H2)),
ISNUMBER(SEARCH("REGIONTYPE1",$H2)),
ISNUMBER(SEARCH("REGIONTYPE2",$H2)),
ISNUMBER(SEARCH("REGIONTYPE3",$H2)),
ISNUMBER(SEARCH("REGIONTYPE4",$H2)),
ISNUMBER(SEARCH("REGIONTYPE5",$H2)))</f>
        <v>1</v>
      </c>
      <c r="K2" t="b">
        <f>OR(ISNUMBER(SEARCH("ALL_REGION",$H2)),
ISNUMBER(SEARCH("ALL_EUROPE",$H2)),
ISNUMBER(SEARCH(K$1,$H2)),
ISNUMBER(SEARCH("REGIONTYPE1",$H2)))</f>
        <v>1</v>
      </c>
      <c r="L2" t="b">
        <f>OR(ISNUMBER(SEARCH("ALL_REGION",$H2)),
ISNUMBER(SEARCH("ALL_EUROPE",$H2)),
ISNUMBER(SEARCH(L$1,$H2)),
ISNUMBER(SEARCH("REGIONTYPE1",$H2)),
ISNUMBER(SEARCH("REGIONTYPE4",$H2)),
ISNUMBER(SEARCH("REGIONTYPE5",$H2)))</f>
        <v>1</v>
      </c>
      <c r="M2" t="b">
        <f>OR(ISNUMBER(SEARCH("ALL_REGION",$H2)),
ISNUMBER(SEARCH("ALL_EUROPE",$H2)),
ISNUMBER(SEARCH(M$1,$H2)),
ISNUMBER(SEARCH("REGIONTYPE1",$H2)),
ISNUMBER(SEARCH("REGIONTYPE6",$H2)))</f>
        <v>1</v>
      </c>
      <c r="N2" t="b">
        <f>OR(ISNUMBER(SEARCH("ALL_REGION",$H2)),
ISNUMBER(SEARCH("ALL_EUROPE",$H2)),
ISNUMBER(SEARCH(N$1,$H2)),
ISNUMBER(SEARCH("REGIONTYPE1",$H2)),
ISNUMBER(SEARCH("REGIONTYPE6",$H2)))</f>
        <v>1</v>
      </c>
      <c r="O2" t="b">
        <f>OR(ISNUMBER(SEARCH("ALL_REGION",$H2)),
ISNUMBER(SEARCH("ALL_AMERICA",$H2)),
ISNUMBER(SEARCH(O$1,$H2)),
ISNUMBER(SEARCH("REGIONTYPE2",$H2)))</f>
        <v>1</v>
      </c>
      <c r="P2" t="b">
        <f>OR(ISNUMBER(SEARCH("ALL_REGION",$H2)),
ISNUMBER(SEARCH("ALL_AMERICA",$H2)),
ISNUMBER(SEARCH(P$1,$H2)),
ISNUMBER(SEARCH("REGIONTYPE2",$H2)),
ISNUMBER(SEARCH("REGIONTYPE5",$H2)))</f>
        <v>1</v>
      </c>
      <c r="Q2" t="b">
        <f>OR(ISNUMBER(SEARCH("ALL_REGION",$H2)),
ISNUMBER(SEARCH(Q$1,$H2)),
ISNUMBER(SEARCH("REGIONTYPE3",$H2)))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0">_xlfn.CONCAT($F3,"_",$G3)</f>
        <v>ALL_REGION_NO_REGION</v>
      </c>
      <c r="I3" t="b">
        <f t="shared" ref="I3:I66" si="1">OR(ISNUMBER(SEARCH("ALL_REGION",$H3)),
ISNUMBER(SEARCH("AFRICA",$H3)),
ISNUMBER(SEARCH("REGIONTYPE1",$H3)),
ISNUMBER(SEARCH("REGIONTYPE2",$H3)))</f>
        <v>1</v>
      </c>
      <c r="J3" t="b">
        <f>OR(ISNUMBER(SEARCH("ALL_REGION",$H3)),
ISNUMBER(SEARCH("ASIA",$H3)),
ISNUMBER(SEARCH("REGIONTYPE1",$H3)),
ISNUMBER(SEARCH("REGIONTYPE2",$H3)),
ISNUMBER(SEARCH("REGIONTYPE3",$H3)),
ISNUMBER(SEARCH("REGIONTYPE4",$H3)))</f>
        <v>1</v>
      </c>
      <c r="K3" t="b">
        <f t="shared" ref="K3:K66" si="2">OR(ISNUMBER(SEARCH("ALL_REGION",$H3)),
ISNUMBER(SEARCH("ALL_EUROPE",$H3)),
ISNUMBER(SEARCH(K$1,$H3)),
ISNUMBER(SEARCH("REGIONTYPE1",$H3)))</f>
        <v>1</v>
      </c>
      <c r="L3" t="b">
        <f t="shared" ref="L3:L66" si="3">OR(ISNUMBER(SEARCH("ALL_REGION",$H3)),
ISNUMBER(SEARCH("ALL_EUROPE",$H3)),
ISNUMBER(SEARCH(L$1,$H3)),
ISNUMBER(SEARCH("REGIONTYPE1",$H3)),
ISNUMBER(SEARCH("REGIONTYPE4",$H3)),
ISNUMBER(SEARCH("REGIONTYPE5",$H3)))</f>
        <v>1</v>
      </c>
      <c r="M3" t="b">
        <f t="shared" ref="M3:N66" si="4">OR(ISNUMBER(SEARCH("ALL_REGION",$H3)),
ISNUMBER(SEARCH("ALL_EUROPE",$H3)),
ISNUMBER(SEARCH(M$1,$H3)),
ISNUMBER(SEARCH("REGIONTYPE1",$H3)),
ISNUMBER(SEARCH("REGIONTYPE6",$H3)))</f>
        <v>1</v>
      </c>
      <c r="N3" t="b">
        <f t="shared" si="4"/>
        <v>1</v>
      </c>
      <c r="O3" t="b">
        <f t="shared" ref="O3:O66" si="5">OR(ISNUMBER(SEARCH("ALL_REGION",$H3)),
ISNUMBER(SEARCH("ALL_AMERICA",$H3)),
ISNUMBER(SEARCH(O$1,$H3)),
ISNUMBER(SEARCH("REGIONTYPE2",$H3)))</f>
        <v>1</v>
      </c>
      <c r="P3" t="b">
        <f t="shared" ref="P3:P66" si="6">OR(ISNUMBER(SEARCH("ALL_REGION",$H3)),
ISNUMBER(SEARCH("ALL_AMERICA",$H3)),
ISNUMBER(SEARCH(P$1,$H3)),
ISNUMBER(SEARCH("REGIONTYPE2",$H3)),
ISNUMBER(SEARCH("REGIONTYPE5",$H3)))</f>
        <v>1</v>
      </c>
      <c r="Q3" t="b">
        <f t="shared" ref="Q3:Q66" si="7">OR(ISNUMBER(SEARCH("ALL_REGION",$H3)),
ISNUMBER(SEARCH(Q$1,$H3)),
ISNUMBER(SEARCH("REGIONTYPE3",$H3)))</f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0"/>
        <v>WESTERN_EUROPE_NO_REGION</v>
      </c>
      <c r="I4" t="b">
        <f t="shared" si="1"/>
        <v>0</v>
      </c>
      <c r="J4" t="b">
        <f t="shared" ref="J4:J67" si="8">OR(ISNUMBER(SEARCH("ALL_REGION",$H4)),
ISNUMBER(SEARCH("ASIA",$H4)),
ISNUMBER(SEARCH("REGIONTYPE1",$H4)),
ISNUMBER(SEARCH("REGIONTYPE2",$H4)),
ISNUMBER(SEARCH("REGIONTYPE3",$H4)),
ISNUMBER(SEARCH("REGIONTYPE4",$H4)))</f>
        <v>0</v>
      </c>
      <c r="K4" t="b">
        <f t="shared" si="2"/>
        <v>0</v>
      </c>
      <c r="L4" t="b">
        <f t="shared" si="3"/>
        <v>0</v>
      </c>
      <c r="M4" t="b">
        <f t="shared" si="4"/>
        <v>1</v>
      </c>
      <c r="N4" t="b">
        <f t="shared" si="4"/>
        <v>0</v>
      </c>
      <c r="O4" t="b">
        <f t="shared" si="5"/>
        <v>0</v>
      </c>
      <c r="P4" t="b">
        <f t="shared" si="6"/>
        <v>0</v>
      </c>
      <c r="Q4" t="b">
        <f t="shared" si="7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0"/>
        <v>SOUTHERN_EUROPE_NO_REGION</v>
      </c>
      <c r="I5" t="b">
        <f t="shared" si="1"/>
        <v>0</v>
      </c>
      <c r="J5" t="b">
        <f t="shared" si="8"/>
        <v>0</v>
      </c>
      <c r="K5" t="b">
        <f t="shared" si="2"/>
        <v>1</v>
      </c>
      <c r="L5" t="b">
        <f t="shared" si="3"/>
        <v>0</v>
      </c>
      <c r="M5" t="b">
        <f t="shared" si="4"/>
        <v>0</v>
      </c>
      <c r="N5" t="b">
        <f t="shared" si="4"/>
        <v>0</v>
      </c>
      <c r="O5" t="b">
        <f t="shared" si="5"/>
        <v>0</v>
      </c>
      <c r="P5" t="b">
        <f t="shared" si="6"/>
        <v>0</v>
      </c>
      <c r="Q5" t="b">
        <f t="shared" si="7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0"/>
        <v>OCEANIA_NO_REGION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4"/>
        <v>0</v>
      </c>
      <c r="O6" t="b">
        <f t="shared" si="5"/>
        <v>0</v>
      </c>
      <c r="P6" t="b">
        <f t="shared" si="6"/>
        <v>0</v>
      </c>
      <c r="Q6" t="b">
        <f t="shared" si="7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0"/>
        <v>WESTERN_EUROPE_NO_REGION</v>
      </c>
      <c r="I7" t="b">
        <f t="shared" si="1"/>
        <v>0</v>
      </c>
      <c r="J7" t="b">
        <f t="shared" si="8"/>
        <v>0</v>
      </c>
      <c r="K7" t="b">
        <f t="shared" si="2"/>
        <v>0</v>
      </c>
      <c r="L7" t="b">
        <f t="shared" si="3"/>
        <v>0</v>
      </c>
      <c r="M7" t="b">
        <f t="shared" si="4"/>
        <v>1</v>
      </c>
      <c r="N7" t="b">
        <f t="shared" si="4"/>
        <v>0</v>
      </c>
      <c r="O7" t="b">
        <f t="shared" si="5"/>
        <v>0</v>
      </c>
      <c r="P7" t="b">
        <f t="shared" si="6"/>
        <v>0</v>
      </c>
      <c r="Q7" t="b">
        <f t="shared" si="7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0"/>
        <v>WESTERN_EUROPE_NO_REGION</v>
      </c>
      <c r="I8" t="b">
        <f t="shared" si="1"/>
        <v>0</v>
      </c>
      <c r="J8" t="b">
        <f t="shared" si="8"/>
        <v>0</v>
      </c>
      <c r="K8" t="b">
        <f t="shared" si="2"/>
        <v>0</v>
      </c>
      <c r="L8" t="b">
        <f t="shared" si="3"/>
        <v>0</v>
      </c>
      <c r="M8" t="b">
        <f t="shared" si="4"/>
        <v>1</v>
      </c>
      <c r="N8" t="b">
        <f t="shared" si="4"/>
        <v>0</v>
      </c>
      <c r="O8" t="b">
        <f t="shared" si="5"/>
        <v>0</v>
      </c>
      <c r="P8" t="b">
        <f t="shared" si="6"/>
        <v>0</v>
      </c>
      <c r="Q8" t="b">
        <f t="shared" si="7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0"/>
        <v>AFRICA_NO_REGION</v>
      </c>
      <c r="I9" t="b">
        <f t="shared" si="1"/>
        <v>1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4"/>
        <v>0</v>
      </c>
      <c r="O9" t="b">
        <f t="shared" si="5"/>
        <v>0</v>
      </c>
      <c r="P9" t="b">
        <f t="shared" si="6"/>
        <v>0</v>
      </c>
      <c r="Q9" t="b">
        <f t="shared" si="7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0"/>
        <v>OCEANIA_NO_REGION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4"/>
        <v>0</v>
      </c>
      <c r="O10" t="b">
        <f t="shared" si="5"/>
        <v>0</v>
      </c>
      <c r="P10" t="b">
        <f t="shared" si="6"/>
        <v>0</v>
      </c>
      <c r="Q10" t="b">
        <f t="shared" si="7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0"/>
        <v>WESTERN_EUROPE_NO_REGION</v>
      </c>
      <c r="I11" t="b">
        <f t="shared" si="1"/>
        <v>0</v>
      </c>
      <c r="J11" t="b">
        <f t="shared" si="8"/>
        <v>0</v>
      </c>
      <c r="K11" t="b">
        <f t="shared" si="2"/>
        <v>0</v>
      </c>
      <c r="L11" t="b">
        <f t="shared" si="3"/>
        <v>0</v>
      </c>
      <c r="M11" t="b">
        <f t="shared" si="4"/>
        <v>1</v>
      </c>
      <c r="N11" t="b">
        <f t="shared" si="4"/>
        <v>0</v>
      </c>
      <c r="O11" t="b">
        <f t="shared" si="5"/>
        <v>0</v>
      </c>
      <c r="P11" t="b">
        <f t="shared" si="6"/>
        <v>0</v>
      </c>
      <c r="Q11" t="b">
        <f t="shared" si="7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0"/>
        <v>OCEANIA_NO_REGION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4"/>
        <v>0</v>
      </c>
      <c r="O12" t="b">
        <f t="shared" si="5"/>
        <v>0</v>
      </c>
      <c r="P12" t="b">
        <f t="shared" si="6"/>
        <v>0</v>
      </c>
      <c r="Q12" t="b">
        <f t="shared" si="7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0"/>
        <v>WESTERN_EUROPE_NO_REGION</v>
      </c>
      <c r="I13" t="b">
        <f t="shared" si="1"/>
        <v>0</v>
      </c>
      <c r="J13" t="b">
        <f t="shared" si="8"/>
        <v>0</v>
      </c>
      <c r="K13" t="b">
        <f t="shared" si="2"/>
        <v>0</v>
      </c>
      <c r="L13" t="b">
        <f t="shared" si="3"/>
        <v>0</v>
      </c>
      <c r="M13" t="b">
        <f t="shared" si="4"/>
        <v>1</v>
      </c>
      <c r="N13" t="b">
        <f t="shared" si="4"/>
        <v>0</v>
      </c>
      <c r="O13" t="b">
        <f t="shared" si="5"/>
        <v>0</v>
      </c>
      <c r="P13" t="b">
        <f t="shared" si="6"/>
        <v>0</v>
      </c>
      <c r="Q13" t="b">
        <f t="shared" si="7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0"/>
        <v>NORTHERN_EUROPE_NO_REGION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0</v>
      </c>
      <c r="M14" t="b">
        <f t="shared" si="4"/>
        <v>0</v>
      </c>
      <c r="N14" t="b">
        <f t="shared" si="4"/>
        <v>1</v>
      </c>
      <c r="O14" t="b">
        <f t="shared" si="5"/>
        <v>0</v>
      </c>
      <c r="P14" t="b">
        <f t="shared" si="6"/>
        <v>0</v>
      </c>
      <c r="Q14" t="b">
        <f t="shared" si="7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0"/>
        <v>WESTERN_EUROPE_NO_REGION</v>
      </c>
      <c r="I15" t="b">
        <f t="shared" si="1"/>
        <v>0</v>
      </c>
      <c r="J15" t="b">
        <f t="shared" si="8"/>
        <v>0</v>
      </c>
      <c r="K15" t="b">
        <f t="shared" si="2"/>
        <v>0</v>
      </c>
      <c r="L15" t="b">
        <f t="shared" si="3"/>
        <v>0</v>
      </c>
      <c r="M15" t="b">
        <f t="shared" si="4"/>
        <v>1</v>
      </c>
      <c r="N15" t="b">
        <f t="shared" si="4"/>
        <v>0</v>
      </c>
      <c r="O15" t="b">
        <f t="shared" si="5"/>
        <v>0</v>
      </c>
      <c r="P15" t="b">
        <f t="shared" si="6"/>
        <v>0</v>
      </c>
      <c r="Q15" t="b">
        <f t="shared" si="7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0"/>
        <v>OCEANIA_NO_REGION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4"/>
        <v>0</v>
      </c>
      <c r="O16" t="b">
        <f t="shared" si="5"/>
        <v>0</v>
      </c>
      <c r="P16" t="b">
        <f t="shared" si="6"/>
        <v>0</v>
      </c>
      <c r="Q16" t="b">
        <f t="shared" si="7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0"/>
        <v>SOUTHERN_EUROPE_NO_REGION</v>
      </c>
      <c r="I17" t="b">
        <f t="shared" si="1"/>
        <v>0</v>
      </c>
      <c r="J17" t="b">
        <f t="shared" si="8"/>
        <v>0</v>
      </c>
      <c r="K17" t="b">
        <f t="shared" si="2"/>
        <v>1</v>
      </c>
      <c r="L17" t="b">
        <f t="shared" si="3"/>
        <v>0</v>
      </c>
      <c r="M17" t="b">
        <f t="shared" si="4"/>
        <v>0</v>
      </c>
      <c r="N17" t="b">
        <f t="shared" si="4"/>
        <v>0</v>
      </c>
      <c r="O17" t="b">
        <f t="shared" si="5"/>
        <v>0</v>
      </c>
      <c r="P17" t="b">
        <f t="shared" si="6"/>
        <v>0</v>
      </c>
      <c r="Q17" t="b">
        <f t="shared" si="7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REGIONTYPE3</v>
      </c>
      <c r="H18" s="31" t="str">
        <f t="shared" si="0"/>
        <v>ALL_AMERICA_REGIONTYPE3</v>
      </c>
      <c r="I18" t="b">
        <f t="shared" si="1"/>
        <v>0</v>
      </c>
      <c r="J18" t="b">
        <f t="shared" si="8"/>
        <v>1</v>
      </c>
      <c r="K18" t="b">
        <f t="shared" si="2"/>
        <v>0</v>
      </c>
      <c r="L18" t="b">
        <f t="shared" si="3"/>
        <v>0</v>
      </c>
      <c r="M18" t="b">
        <f t="shared" si="4"/>
        <v>0</v>
      </c>
      <c r="N18" t="b">
        <f t="shared" si="4"/>
        <v>0</v>
      </c>
      <c r="O18" t="b">
        <f t="shared" si="5"/>
        <v>1</v>
      </c>
      <c r="P18" t="b">
        <f t="shared" si="6"/>
        <v>1</v>
      </c>
      <c r="Q18" t="b">
        <f t="shared" si="7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0"/>
        <v>WESTERN_EUROPE_NO_REGION</v>
      </c>
      <c r="I19" t="b">
        <f t="shared" si="1"/>
        <v>0</v>
      </c>
      <c r="J19" t="b">
        <f t="shared" si="8"/>
        <v>0</v>
      </c>
      <c r="K19" t="b">
        <f t="shared" si="2"/>
        <v>0</v>
      </c>
      <c r="L19" t="b">
        <f t="shared" si="3"/>
        <v>0</v>
      </c>
      <c r="M19" t="b">
        <f t="shared" si="4"/>
        <v>1</v>
      </c>
      <c r="N19" t="b">
        <f t="shared" si="4"/>
        <v>0</v>
      </c>
      <c r="O19" t="b">
        <f t="shared" si="5"/>
        <v>0</v>
      </c>
      <c r="P19" t="b">
        <f t="shared" si="6"/>
        <v>0</v>
      </c>
      <c r="Q19" t="b">
        <f t="shared" si="7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0"/>
        <v>WESTERN_EUROPE_NO_REGION</v>
      </c>
      <c r="I20" t="b">
        <f t="shared" si="1"/>
        <v>0</v>
      </c>
      <c r="J20" t="b">
        <f t="shared" si="8"/>
        <v>0</v>
      </c>
      <c r="K20" t="b">
        <f t="shared" si="2"/>
        <v>0</v>
      </c>
      <c r="L20" t="b">
        <f t="shared" si="3"/>
        <v>0</v>
      </c>
      <c r="M20" t="b">
        <f t="shared" si="4"/>
        <v>1</v>
      </c>
      <c r="N20" t="b">
        <f t="shared" si="4"/>
        <v>0</v>
      </c>
      <c r="O20" t="b">
        <f t="shared" si="5"/>
        <v>0</v>
      </c>
      <c r="P20" t="b">
        <f t="shared" si="6"/>
        <v>0</v>
      </c>
      <c r="Q20" t="b">
        <f t="shared" si="7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0"/>
        <v>WESTERN_EUROPE_NO_REGION</v>
      </c>
      <c r="I21" t="b">
        <f t="shared" si="1"/>
        <v>0</v>
      </c>
      <c r="J21" t="b">
        <f t="shared" si="8"/>
        <v>0</v>
      </c>
      <c r="K21" t="b">
        <f t="shared" si="2"/>
        <v>0</v>
      </c>
      <c r="L21" t="b">
        <f t="shared" si="3"/>
        <v>0</v>
      </c>
      <c r="M21" t="b">
        <f t="shared" si="4"/>
        <v>1</v>
      </c>
      <c r="N21" t="b">
        <f t="shared" si="4"/>
        <v>0</v>
      </c>
      <c r="O21" t="b">
        <f t="shared" si="5"/>
        <v>0</v>
      </c>
      <c r="P21" t="b">
        <f t="shared" si="6"/>
        <v>0</v>
      </c>
      <c r="Q21" t="b">
        <f t="shared" si="7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0"/>
        <v>ALL_EUROPE_SOUTH_AMERICA</v>
      </c>
      <c r="I22" t="b">
        <f t="shared" si="1"/>
        <v>0</v>
      </c>
      <c r="J22" t="b">
        <f t="shared" si="8"/>
        <v>0</v>
      </c>
      <c r="K22" t="b">
        <f t="shared" si="2"/>
        <v>1</v>
      </c>
      <c r="L22" t="b">
        <f t="shared" si="3"/>
        <v>1</v>
      </c>
      <c r="M22" t="b">
        <f t="shared" si="4"/>
        <v>1</v>
      </c>
      <c r="N22" t="b">
        <f t="shared" si="4"/>
        <v>1</v>
      </c>
      <c r="O22" t="b">
        <f t="shared" si="5"/>
        <v>0</v>
      </c>
      <c r="P22" t="b">
        <f t="shared" si="6"/>
        <v>1</v>
      </c>
      <c r="Q22" t="b">
        <f t="shared" si="7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0"/>
        <v>WESTERN_EUROPE_NO_REGION</v>
      </c>
      <c r="I23" t="b">
        <f t="shared" si="1"/>
        <v>0</v>
      </c>
      <c r="J23" t="b">
        <f t="shared" si="8"/>
        <v>0</v>
      </c>
      <c r="K23" t="b">
        <f t="shared" si="2"/>
        <v>0</v>
      </c>
      <c r="L23" t="b">
        <f t="shared" si="3"/>
        <v>0</v>
      </c>
      <c r="M23" t="b">
        <f t="shared" si="4"/>
        <v>1</v>
      </c>
      <c r="N23" t="b">
        <f t="shared" si="4"/>
        <v>0</v>
      </c>
      <c r="O23" t="b">
        <f t="shared" si="5"/>
        <v>0</v>
      </c>
      <c r="P23" t="b">
        <f t="shared" si="6"/>
        <v>0</v>
      </c>
      <c r="Q23" t="b">
        <f t="shared" si="7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0"/>
        <v>NORTHERN_EUROPE_NO_REGION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0</v>
      </c>
      <c r="M24" t="b">
        <f t="shared" si="4"/>
        <v>0</v>
      </c>
      <c r="N24" t="b">
        <f t="shared" si="4"/>
        <v>1</v>
      </c>
      <c r="O24" t="b">
        <f t="shared" si="5"/>
        <v>0</v>
      </c>
      <c r="P24" t="b">
        <f t="shared" si="6"/>
        <v>0</v>
      </c>
      <c r="Q24" t="b">
        <f t="shared" si="7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0"/>
        <v>EASTERN_EUROPE_NO_REGION</v>
      </c>
      <c r="I25" t="b">
        <f t="shared" si="1"/>
        <v>0</v>
      </c>
      <c r="J25" t="b">
        <f t="shared" si="8"/>
        <v>0</v>
      </c>
      <c r="K25" t="b">
        <f t="shared" si="2"/>
        <v>0</v>
      </c>
      <c r="L25" t="b">
        <f t="shared" si="3"/>
        <v>1</v>
      </c>
      <c r="M25" t="b">
        <f t="shared" si="4"/>
        <v>0</v>
      </c>
      <c r="N25" t="b">
        <f t="shared" si="4"/>
        <v>0</v>
      </c>
      <c r="O25" t="b">
        <f t="shared" si="5"/>
        <v>0</v>
      </c>
      <c r="P25" t="b">
        <f t="shared" si="6"/>
        <v>0</v>
      </c>
      <c r="Q25" t="b">
        <f t="shared" si="7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0"/>
        <v>WESTERN_EUROPE_NO_REGION</v>
      </c>
      <c r="I26" t="b">
        <f t="shared" si="1"/>
        <v>0</v>
      </c>
      <c r="J26" t="b">
        <f t="shared" si="8"/>
        <v>0</v>
      </c>
      <c r="K26" t="b">
        <f t="shared" si="2"/>
        <v>0</v>
      </c>
      <c r="L26" t="b">
        <f t="shared" si="3"/>
        <v>0</v>
      </c>
      <c r="M26" t="b">
        <f t="shared" si="4"/>
        <v>1</v>
      </c>
      <c r="N26" t="b">
        <f t="shared" si="4"/>
        <v>0</v>
      </c>
      <c r="O26" t="b">
        <f t="shared" si="5"/>
        <v>0</v>
      </c>
      <c r="P26" t="b">
        <f t="shared" si="6"/>
        <v>0</v>
      </c>
      <c r="Q26" t="b">
        <f t="shared" si="7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0"/>
        <v>NORTHERN_EUROPE_NO_REGION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0</v>
      </c>
      <c r="M27" t="b">
        <f t="shared" si="4"/>
        <v>0</v>
      </c>
      <c r="N27" t="b">
        <f t="shared" si="4"/>
        <v>1</v>
      </c>
      <c r="O27" t="b">
        <f t="shared" si="5"/>
        <v>0</v>
      </c>
      <c r="P27" t="b">
        <f t="shared" si="6"/>
        <v>0</v>
      </c>
      <c r="Q27" t="b">
        <f t="shared" si="7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0"/>
        <v>WESTERN_EUROPE_NO_REGION</v>
      </c>
      <c r="I28" t="b">
        <f t="shared" si="1"/>
        <v>0</v>
      </c>
      <c r="J28" t="b">
        <f t="shared" si="8"/>
        <v>0</v>
      </c>
      <c r="K28" t="b">
        <f t="shared" si="2"/>
        <v>0</v>
      </c>
      <c r="L28" t="b">
        <f t="shared" si="3"/>
        <v>0</v>
      </c>
      <c r="M28" t="b">
        <f t="shared" si="4"/>
        <v>1</v>
      </c>
      <c r="N28" t="b">
        <f t="shared" si="4"/>
        <v>0</v>
      </c>
      <c r="O28" t="b">
        <f t="shared" si="5"/>
        <v>0</v>
      </c>
      <c r="P28" t="b">
        <f t="shared" si="6"/>
        <v>0</v>
      </c>
      <c r="Q28" t="b">
        <f t="shared" si="7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0"/>
        <v>NORTH_AMERICA_NO_REGION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0</v>
      </c>
      <c r="N29" t="b">
        <f t="shared" si="4"/>
        <v>0</v>
      </c>
      <c r="O29" t="b">
        <f t="shared" si="5"/>
        <v>1</v>
      </c>
      <c r="P29" t="b">
        <f t="shared" si="6"/>
        <v>0</v>
      </c>
      <c r="Q29" t="b">
        <f t="shared" si="7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0"/>
        <v>WESTERN_EUROPE_NO_REGION</v>
      </c>
      <c r="I30" t="b">
        <f t="shared" si="1"/>
        <v>0</v>
      </c>
      <c r="J30" t="b">
        <f t="shared" si="8"/>
        <v>0</v>
      </c>
      <c r="K30" t="b">
        <f t="shared" si="2"/>
        <v>0</v>
      </c>
      <c r="L30" t="b">
        <f t="shared" si="3"/>
        <v>0</v>
      </c>
      <c r="M30" t="b">
        <f t="shared" si="4"/>
        <v>1</v>
      </c>
      <c r="N30" t="b">
        <f t="shared" si="4"/>
        <v>0</v>
      </c>
      <c r="O30" t="b">
        <f t="shared" si="5"/>
        <v>0</v>
      </c>
      <c r="P30" t="b">
        <f t="shared" si="6"/>
        <v>0</v>
      </c>
      <c r="Q30" t="b">
        <f t="shared" si="7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0"/>
        <v>NORTHERN_EUROPE_NO_REGION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0</v>
      </c>
      <c r="M31" t="b">
        <f t="shared" si="4"/>
        <v>0</v>
      </c>
      <c r="N31" t="b">
        <f t="shared" si="4"/>
        <v>1</v>
      </c>
      <c r="O31" t="b">
        <f t="shared" si="5"/>
        <v>0</v>
      </c>
      <c r="P31" t="b">
        <f t="shared" si="6"/>
        <v>0</v>
      </c>
      <c r="Q31" t="b">
        <f t="shared" si="7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0"/>
        <v>WESTERN_EUROPE_NO_REGION</v>
      </c>
      <c r="I32" t="b">
        <f t="shared" si="1"/>
        <v>0</v>
      </c>
      <c r="J32" t="b">
        <f t="shared" si="8"/>
        <v>0</v>
      </c>
      <c r="K32" t="b">
        <f t="shared" si="2"/>
        <v>0</v>
      </c>
      <c r="L32" t="b">
        <f t="shared" si="3"/>
        <v>0</v>
      </c>
      <c r="M32" t="b">
        <f t="shared" si="4"/>
        <v>1</v>
      </c>
      <c r="N32" t="b">
        <f t="shared" si="4"/>
        <v>0</v>
      </c>
      <c r="O32" t="b">
        <f t="shared" si="5"/>
        <v>0</v>
      </c>
      <c r="P32" t="b">
        <f t="shared" si="6"/>
        <v>0</v>
      </c>
      <c r="Q32" t="b">
        <f t="shared" si="7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0"/>
        <v>OCEANIA_NO_REGION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4"/>
        <v>0</v>
      </c>
      <c r="O33" t="b">
        <f t="shared" si="5"/>
        <v>0</v>
      </c>
      <c r="P33" t="b">
        <f t="shared" si="6"/>
        <v>0</v>
      </c>
      <c r="Q33" t="b">
        <f t="shared" si="7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0"/>
        <v>EASTERN_EUROPE_NO_REGION</v>
      </c>
      <c r="I34" t="b">
        <f t="shared" si="1"/>
        <v>0</v>
      </c>
      <c r="J34" t="b">
        <f t="shared" si="8"/>
        <v>0</v>
      </c>
      <c r="K34" t="b">
        <f t="shared" si="2"/>
        <v>0</v>
      </c>
      <c r="L34" t="b">
        <f t="shared" si="3"/>
        <v>1</v>
      </c>
      <c r="M34" t="b">
        <f t="shared" si="4"/>
        <v>0</v>
      </c>
      <c r="N34" t="b">
        <f t="shared" si="4"/>
        <v>0</v>
      </c>
      <c r="O34" t="b">
        <f t="shared" si="5"/>
        <v>0</v>
      </c>
      <c r="P34" t="b">
        <f t="shared" si="6"/>
        <v>0</v>
      </c>
      <c r="Q34" t="b">
        <f t="shared" si="7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0"/>
        <v>WESTERN_EUROPE_NO_REGION</v>
      </c>
      <c r="I35" t="b">
        <f t="shared" si="1"/>
        <v>0</v>
      </c>
      <c r="J35" t="b">
        <f t="shared" si="8"/>
        <v>0</v>
      </c>
      <c r="K35" t="b">
        <f t="shared" si="2"/>
        <v>0</v>
      </c>
      <c r="L35" t="b">
        <f t="shared" si="3"/>
        <v>0</v>
      </c>
      <c r="M35" t="b">
        <f t="shared" si="4"/>
        <v>1</v>
      </c>
      <c r="N35" t="b">
        <f t="shared" si="4"/>
        <v>0</v>
      </c>
      <c r="O35" t="b">
        <f t="shared" si="5"/>
        <v>0</v>
      </c>
      <c r="P35" t="b">
        <f t="shared" si="6"/>
        <v>0</v>
      </c>
      <c r="Q35" t="b">
        <f t="shared" si="7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0"/>
        <v>NORTHERN_EUROPE_NO_REGION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0</v>
      </c>
      <c r="M36" t="b">
        <f t="shared" si="4"/>
        <v>0</v>
      </c>
      <c r="N36" t="b">
        <f t="shared" si="4"/>
        <v>1</v>
      </c>
      <c r="O36" t="b">
        <f t="shared" si="5"/>
        <v>0</v>
      </c>
      <c r="P36" t="b">
        <f t="shared" si="6"/>
        <v>0</v>
      </c>
      <c r="Q36" t="b">
        <f t="shared" si="7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0"/>
        <v>NORTHERN_EUROPE_NO_REGION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0</v>
      </c>
      <c r="M37" t="b">
        <f t="shared" si="4"/>
        <v>0</v>
      </c>
      <c r="N37" t="b">
        <f t="shared" si="4"/>
        <v>1</v>
      </c>
      <c r="O37" t="b">
        <f t="shared" si="5"/>
        <v>0</v>
      </c>
      <c r="P37" t="b">
        <f t="shared" si="6"/>
        <v>0</v>
      </c>
      <c r="Q37" t="b">
        <f t="shared" si="7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0"/>
        <v>EASTERN_EUROPE_NO_REGION</v>
      </c>
      <c r="I38" t="b">
        <f t="shared" si="1"/>
        <v>0</v>
      </c>
      <c r="J38" t="b">
        <f t="shared" si="8"/>
        <v>0</v>
      </c>
      <c r="K38" t="b">
        <f t="shared" si="2"/>
        <v>0</v>
      </c>
      <c r="L38" t="b">
        <f t="shared" si="3"/>
        <v>1</v>
      </c>
      <c r="M38" t="b">
        <f t="shared" si="4"/>
        <v>0</v>
      </c>
      <c r="N38" t="b">
        <f t="shared" si="4"/>
        <v>0</v>
      </c>
      <c r="O38" t="b">
        <f t="shared" si="5"/>
        <v>0</v>
      </c>
      <c r="P38" t="b">
        <f t="shared" si="6"/>
        <v>0</v>
      </c>
      <c r="Q38" t="b">
        <f t="shared" si="7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0"/>
        <v>WESTERN_EUROPE_NO_REGION</v>
      </c>
      <c r="I39" t="b">
        <f t="shared" si="1"/>
        <v>0</v>
      </c>
      <c r="J39" t="b">
        <f t="shared" si="8"/>
        <v>0</v>
      </c>
      <c r="K39" t="b">
        <f t="shared" si="2"/>
        <v>0</v>
      </c>
      <c r="L39" t="b">
        <f t="shared" si="3"/>
        <v>0</v>
      </c>
      <c r="M39" t="b">
        <f t="shared" si="4"/>
        <v>1</v>
      </c>
      <c r="N39" t="b">
        <f t="shared" si="4"/>
        <v>0</v>
      </c>
      <c r="O39" t="b">
        <f t="shared" si="5"/>
        <v>0</v>
      </c>
      <c r="P39" t="b">
        <f t="shared" si="6"/>
        <v>0</v>
      </c>
      <c r="Q39" t="b">
        <f t="shared" si="7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0"/>
        <v>OCEANIA_NO_REGION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4"/>
        <v>0</v>
      </c>
      <c r="O40" t="b">
        <f t="shared" si="5"/>
        <v>0</v>
      </c>
      <c r="P40" t="b">
        <f t="shared" si="6"/>
        <v>0</v>
      </c>
      <c r="Q40" t="b">
        <f t="shared" si="7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0"/>
        <v>SOUTHERN_EUROPE_NO_REGION</v>
      </c>
      <c r="I41" t="b">
        <f t="shared" si="1"/>
        <v>0</v>
      </c>
      <c r="J41" t="b">
        <f t="shared" si="8"/>
        <v>0</v>
      </c>
      <c r="K41" t="b">
        <f t="shared" si="2"/>
        <v>1</v>
      </c>
      <c r="L41" t="b">
        <f t="shared" si="3"/>
        <v>0</v>
      </c>
      <c r="M41" t="b">
        <f t="shared" si="4"/>
        <v>0</v>
      </c>
      <c r="N41" t="b">
        <f t="shared" si="4"/>
        <v>0</v>
      </c>
      <c r="O41" t="b">
        <f t="shared" si="5"/>
        <v>0</v>
      </c>
      <c r="P41" t="b">
        <f t="shared" si="6"/>
        <v>0</v>
      </c>
      <c r="Q41" t="b">
        <f t="shared" si="7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0"/>
        <v>WESTERN_EUROPE_NO_REGION</v>
      </c>
      <c r="I42" t="b">
        <f t="shared" si="1"/>
        <v>0</v>
      </c>
      <c r="J42" t="b">
        <f t="shared" si="8"/>
        <v>0</v>
      </c>
      <c r="K42" t="b">
        <f t="shared" si="2"/>
        <v>0</v>
      </c>
      <c r="L42" t="b">
        <f t="shared" si="3"/>
        <v>0</v>
      </c>
      <c r="M42" t="b">
        <f t="shared" si="4"/>
        <v>1</v>
      </c>
      <c r="N42" t="b">
        <f t="shared" si="4"/>
        <v>0</v>
      </c>
      <c r="O42" t="b">
        <f t="shared" si="5"/>
        <v>0</v>
      </c>
      <c r="P42" t="b">
        <f t="shared" si="6"/>
        <v>0</v>
      </c>
      <c r="Q42" t="b">
        <f t="shared" si="7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0"/>
        <v>EASTERN_EUROPE_NO_REGION</v>
      </c>
      <c r="I43" t="b">
        <f t="shared" si="1"/>
        <v>0</v>
      </c>
      <c r="J43" t="b">
        <f t="shared" si="8"/>
        <v>0</v>
      </c>
      <c r="K43" t="b">
        <f t="shared" si="2"/>
        <v>0</v>
      </c>
      <c r="L43" t="b">
        <f t="shared" si="3"/>
        <v>1</v>
      </c>
      <c r="M43" t="b">
        <f t="shared" si="4"/>
        <v>0</v>
      </c>
      <c r="N43" t="b">
        <f t="shared" si="4"/>
        <v>0</v>
      </c>
      <c r="O43" t="b">
        <f t="shared" si="5"/>
        <v>0</v>
      </c>
      <c r="P43" t="b">
        <f t="shared" si="6"/>
        <v>0</v>
      </c>
      <c r="Q43" t="b">
        <f t="shared" si="7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0"/>
        <v>SOUTHERN_EUROPE_NO_REGION</v>
      </c>
      <c r="I44" t="b">
        <f t="shared" si="1"/>
        <v>0</v>
      </c>
      <c r="J44" t="b">
        <f t="shared" si="8"/>
        <v>0</v>
      </c>
      <c r="K44" t="b">
        <f t="shared" si="2"/>
        <v>1</v>
      </c>
      <c r="L44" t="b">
        <f t="shared" si="3"/>
        <v>0</v>
      </c>
      <c r="M44" t="b">
        <f t="shared" si="4"/>
        <v>0</v>
      </c>
      <c r="N44" t="b">
        <f t="shared" si="4"/>
        <v>0</v>
      </c>
      <c r="O44" t="b">
        <f t="shared" si="5"/>
        <v>0</v>
      </c>
      <c r="P44" t="b">
        <f t="shared" si="6"/>
        <v>0</v>
      </c>
      <c r="Q44" t="b">
        <f t="shared" si="7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0"/>
        <v>AFRICA_NO_REGION</v>
      </c>
      <c r="I45" t="b">
        <f t="shared" si="1"/>
        <v>1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4"/>
        <v>0</v>
      </c>
      <c r="O45" t="b">
        <f t="shared" si="5"/>
        <v>0</v>
      </c>
      <c r="P45" t="b">
        <f t="shared" si="6"/>
        <v>0</v>
      </c>
      <c r="Q45" t="b">
        <f t="shared" si="7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0"/>
        <v>NORTH_AMERICA_AFRICA</v>
      </c>
      <c r="I46" t="b">
        <f t="shared" si="1"/>
        <v>1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0</v>
      </c>
      <c r="N46" t="b">
        <f t="shared" si="4"/>
        <v>0</v>
      </c>
      <c r="O46" t="b">
        <f t="shared" si="5"/>
        <v>1</v>
      </c>
      <c r="P46" t="b">
        <f t="shared" si="6"/>
        <v>0</v>
      </c>
      <c r="Q46" t="b">
        <f t="shared" si="7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0"/>
        <v>NORTHERN_EUROPE_NO_REGION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0</v>
      </c>
      <c r="M47" t="b">
        <f t="shared" si="4"/>
        <v>0</v>
      </c>
      <c r="N47" t="b">
        <f t="shared" si="4"/>
        <v>1</v>
      </c>
      <c r="O47" t="b">
        <f t="shared" si="5"/>
        <v>0</v>
      </c>
      <c r="P47" t="b">
        <f t="shared" si="6"/>
        <v>0</v>
      </c>
      <c r="Q47" t="b">
        <f t="shared" si="7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0"/>
        <v>EASTERN_EUROPE_NO_REGION</v>
      </c>
      <c r="I48" t="b">
        <f t="shared" si="1"/>
        <v>0</v>
      </c>
      <c r="J48" t="b">
        <f t="shared" si="8"/>
        <v>0</v>
      </c>
      <c r="K48" t="b">
        <f t="shared" si="2"/>
        <v>0</v>
      </c>
      <c r="L48" t="b">
        <f t="shared" si="3"/>
        <v>1</v>
      </c>
      <c r="M48" t="b">
        <f t="shared" si="4"/>
        <v>0</v>
      </c>
      <c r="N48" t="b">
        <f t="shared" si="4"/>
        <v>0</v>
      </c>
      <c r="O48" t="b">
        <f t="shared" si="5"/>
        <v>0</v>
      </c>
      <c r="P48" t="b">
        <f t="shared" si="6"/>
        <v>0</v>
      </c>
      <c r="Q48" t="b">
        <f t="shared" si="7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0"/>
        <v>SOUTHERN_EUROPE_NO_REGION</v>
      </c>
      <c r="I49" t="b">
        <f t="shared" si="1"/>
        <v>0</v>
      </c>
      <c r="J49" t="b">
        <f t="shared" si="8"/>
        <v>0</v>
      </c>
      <c r="K49" t="b">
        <f t="shared" si="2"/>
        <v>1</v>
      </c>
      <c r="L49" t="b">
        <f t="shared" si="3"/>
        <v>0</v>
      </c>
      <c r="M49" t="b">
        <f t="shared" si="4"/>
        <v>0</v>
      </c>
      <c r="N49" t="b">
        <f t="shared" si="4"/>
        <v>0</v>
      </c>
      <c r="O49" t="b">
        <f t="shared" si="5"/>
        <v>0</v>
      </c>
      <c r="P49" t="b">
        <f t="shared" si="6"/>
        <v>0</v>
      </c>
      <c r="Q49" t="b">
        <f t="shared" si="7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0"/>
        <v>EASTERN_EUROPE_NO_REGION</v>
      </c>
      <c r="I50" t="b">
        <f t="shared" si="1"/>
        <v>0</v>
      </c>
      <c r="J50" t="b">
        <f t="shared" si="8"/>
        <v>0</v>
      </c>
      <c r="K50" t="b">
        <f t="shared" si="2"/>
        <v>0</v>
      </c>
      <c r="L50" t="b">
        <f t="shared" si="3"/>
        <v>1</v>
      </c>
      <c r="M50" t="b">
        <f t="shared" si="4"/>
        <v>0</v>
      </c>
      <c r="N50" t="b">
        <f t="shared" si="4"/>
        <v>0</v>
      </c>
      <c r="O50" t="b">
        <f t="shared" si="5"/>
        <v>0</v>
      </c>
      <c r="P50" t="b">
        <f t="shared" si="6"/>
        <v>0</v>
      </c>
      <c r="Q50" t="b">
        <f t="shared" si="7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0"/>
        <v>WESTERN_EUROPE_NO_REGION</v>
      </c>
      <c r="I51" t="b">
        <f t="shared" si="1"/>
        <v>0</v>
      </c>
      <c r="J51" t="b">
        <f t="shared" si="8"/>
        <v>0</v>
      </c>
      <c r="K51" t="b">
        <f t="shared" si="2"/>
        <v>0</v>
      </c>
      <c r="L51" t="b">
        <f t="shared" si="3"/>
        <v>0</v>
      </c>
      <c r="M51" t="b">
        <f t="shared" si="4"/>
        <v>1</v>
      </c>
      <c r="N51" t="b">
        <f t="shared" si="4"/>
        <v>0</v>
      </c>
      <c r="O51" t="b">
        <f t="shared" si="5"/>
        <v>0</v>
      </c>
      <c r="P51" t="b">
        <f t="shared" si="6"/>
        <v>0</v>
      </c>
      <c r="Q51" t="b">
        <f t="shared" si="7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0"/>
        <v>WESTERN_EUROPE_NO_REGION</v>
      </c>
      <c r="I52" t="b">
        <f t="shared" si="1"/>
        <v>0</v>
      </c>
      <c r="J52" t="b">
        <f t="shared" si="8"/>
        <v>0</v>
      </c>
      <c r="K52" t="b">
        <f t="shared" si="2"/>
        <v>0</v>
      </c>
      <c r="L52" t="b">
        <f t="shared" si="3"/>
        <v>0</v>
      </c>
      <c r="M52" t="b">
        <f t="shared" si="4"/>
        <v>1</v>
      </c>
      <c r="N52" t="b">
        <f t="shared" si="4"/>
        <v>0</v>
      </c>
      <c r="O52" t="b">
        <f t="shared" si="5"/>
        <v>0</v>
      </c>
      <c r="P52" t="b">
        <f t="shared" si="6"/>
        <v>0</v>
      </c>
      <c r="Q52" t="b">
        <f t="shared" si="7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0"/>
        <v>WESTERN_EUROPE_NO_REGION</v>
      </c>
      <c r="I53" t="b">
        <f t="shared" si="1"/>
        <v>0</v>
      </c>
      <c r="J53" t="b">
        <f t="shared" si="8"/>
        <v>0</v>
      </c>
      <c r="K53" t="b">
        <f t="shared" si="2"/>
        <v>0</v>
      </c>
      <c r="L53" t="b">
        <f t="shared" si="3"/>
        <v>0</v>
      </c>
      <c r="M53" t="b">
        <f t="shared" si="4"/>
        <v>1</v>
      </c>
      <c r="N53" t="b">
        <f t="shared" si="4"/>
        <v>0</v>
      </c>
      <c r="O53" t="b">
        <f t="shared" si="5"/>
        <v>0</v>
      </c>
      <c r="P53" t="b">
        <f t="shared" si="6"/>
        <v>0</v>
      </c>
      <c r="Q53" t="b">
        <f t="shared" si="7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0"/>
        <v>EASTERN_EUROPE_NO_REGION</v>
      </c>
      <c r="I54" t="b">
        <f t="shared" si="1"/>
        <v>0</v>
      </c>
      <c r="J54" t="b">
        <f t="shared" si="8"/>
        <v>0</v>
      </c>
      <c r="K54" t="b">
        <f t="shared" si="2"/>
        <v>0</v>
      </c>
      <c r="L54" t="b">
        <f t="shared" si="3"/>
        <v>1</v>
      </c>
      <c r="M54" t="b">
        <f t="shared" si="4"/>
        <v>0</v>
      </c>
      <c r="N54" t="b">
        <f t="shared" si="4"/>
        <v>0</v>
      </c>
      <c r="O54" t="b">
        <f t="shared" si="5"/>
        <v>0</v>
      </c>
      <c r="P54" t="b">
        <f t="shared" si="6"/>
        <v>0</v>
      </c>
      <c r="Q54" t="b">
        <f t="shared" si="7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0"/>
        <v>SOUTHERN_EUROPE_NO_REGION</v>
      </c>
      <c r="I55" t="b">
        <f t="shared" si="1"/>
        <v>0</v>
      </c>
      <c r="J55" t="b">
        <f t="shared" si="8"/>
        <v>0</v>
      </c>
      <c r="K55" t="b">
        <f t="shared" si="2"/>
        <v>1</v>
      </c>
      <c r="L55" t="b">
        <f t="shared" si="3"/>
        <v>0</v>
      </c>
      <c r="M55" t="b">
        <f t="shared" si="4"/>
        <v>0</v>
      </c>
      <c r="N55" t="b">
        <f t="shared" si="4"/>
        <v>0</v>
      </c>
      <c r="O55" t="b">
        <f t="shared" si="5"/>
        <v>0</v>
      </c>
      <c r="P55" t="b">
        <f t="shared" si="6"/>
        <v>0</v>
      </c>
      <c r="Q55" t="b">
        <f t="shared" si="7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0"/>
        <v>SOUTHERN_EUROPE_NO_REGION</v>
      </c>
      <c r="I56" t="b">
        <f t="shared" si="1"/>
        <v>0</v>
      </c>
      <c r="J56" t="b">
        <f t="shared" si="8"/>
        <v>0</v>
      </c>
      <c r="K56" t="b">
        <f t="shared" si="2"/>
        <v>1</v>
      </c>
      <c r="L56" t="b">
        <f t="shared" si="3"/>
        <v>0</v>
      </c>
      <c r="M56" t="b">
        <f t="shared" si="4"/>
        <v>0</v>
      </c>
      <c r="N56" t="b">
        <f t="shared" si="4"/>
        <v>0</v>
      </c>
      <c r="O56" t="b">
        <f t="shared" si="5"/>
        <v>0</v>
      </c>
      <c r="P56" t="b">
        <f t="shared" si="6"/>
        <v>0</v>
      </c>
      <c r="Q56" t="b">
        <f t="shared" si="7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0"/>
        <v>SOUTHERN_EUROPE_NO_REGION</v>
      </c>
      <c r="I57" t="b">
        <f t="shared" si="1"/>
        <v>0</v>
      </c>
      <c r="J57" t="b">
        <f t="shared" si="8"/>
        <v>0</v>
      </c>
      <c r="K57" t="b">
        <f t="shared" si="2"/>
        <v>1</v>
      </c>
      <c r="L57" t="b">
        <f t="shared" si="3"/>
        <v>0</v>
      </c>
      <c r="M57" t="b">
        <f t="shared" si="4"/>
        <v>0</v>
      </c>
      <c r="N57" t="b">
        <f t="shared" si="4"/>
        <v>0</v>
      </c>
      <c r="O57" t="b">
        <f t="shared" si="5"/>
        <v>0</v>
      </c>
      <c r="P57" t="b">
        <f t="shared" si="6"/>
        <v>0</v>
      </c>
      <c r="Q57" t="b">
        <f t="shared" si="7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0"/>
        <v>AFRICA_NO_REGION</v>
      </c>
      <c r="I58" t="b">
        <f t="shared" si="1"/>
        <v>1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4"/>
        <v>0</v>
      </c>
      <c r="O58" t="b">
        <f t="shared" si="5"/>
        <v>0</v>
      </c>
      <c r="P58" t="b">
        <f t="shared" si="6"/>
        <v>0</v>
      </c>
      <c r="Q58" t="b">
        <f t="shared" si="7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0"/>
        <v>EASTERN_EUROPE_NO_REGION</v>
      </c>
      <c r="I59" t="b">
        <f t="shared" si="1"/>
        <v>0</v>
      </c>
      <c r="J59" t="b">
        <f t="shared" si="8"/>
        <v>0</v>
      </c>
      <c r="K59" t="b">
        <f t="shared" si="2"/>
        <v>0</v>
      </c>
      <c r="L59" t="b">
        <f t="shared" si="3"/>
        <v>1</v>
      </c>
      <c r="M59" t="b">
        <f t="shared" si="4"/>
        <v>0</v>
      </c>
      <c r="N59" t="b">
        <f t="shared" si="4"/>
        <v>0</v>
      </c>
      <c r="O59" t="b">
        <f t="shared" si="5"/>
        <v>0</v>
      </c>
      <c r="P59" t="b">
        <f t="shared" si="6"/>
        <v>0</v>
      </c>
      <c r="Q59" t="b">
        <f t="shared" si="7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0"/>
        <v>WESTERN_EUROPE_NO_REGION</v>
      </c>
      <c r="I60" t="b">
        <f t="shared" si="1"/>
        <v>0</v>
      </c>
      <c r="J60" t="b">
        <f t="shared" si="8"/>
        <v>0</v>
      </c>
      <c r="K60" t="b">
        <f t="shared" si="2"/>
        <v>0</v>
      </c>
      <c r="L60" t="b">
        <f t="shared" si="3"/>
        <v>0</v>
      </c>
      <c r="M60" t="b">
        <f t="shared" si="4"/>
        <v>1</v>
      </c>
      <c r="N60" t="b">
        <f t="shared" si="4"/>
        <v>0</v>
      </c>
      <c r="O60" t="b">
        <f t="shared" si="5"/>
        <v>0</v>
      </c>
      <c r="P60" t="b">
        <f t="shared" si="6"/>
        <v>0</v>
      </c>
      <c r="Q60" t="b">
        <f t="shared" si="7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0"/>
        <v>WESTERN_EUROPE_NO_REGION</v>
      </c>
      <c r="I61" t="b">
        <f t="shared" si="1"/>
        <v>0</v>
      </c>
      <c r="J61" t="b">
        <f t="shared" si="8"/>
        <v>0</v>
      </c>
      <c r="K61" t="b">
        <f t="shared" si="2"/>
        <v>0</v>
      </c>
      <c r="L61" t="b">
        <f t="shared" si="3"/>
        <v>0</v>
      </c>
      <c r="M61" t="b">
        <f t="shared" si="4"/>
        <v>1</v>
      </c>
      <c r="N61" t="b">
        <f t="shared" si="4"/>
        <v>0</v>
      </c>
      <c r="O61" t="b">
        <f t="shared" si="5"/>
        <v>0</v>
      </c>
      <c r="P61" t="b">
        <f t="shared" si="6"/>
        <v>0</v>
      </c>
      <c r="Q61" t="b">
        <f t="shared" si="7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0"/>
        <v>WESTERN_EUROPE_NO_REGION</v>
      </c>
      <c r="I62" t="b">
        <f t="shared" si="1"/>
        <v>0</v>
      </c>
      <c r="J62" t="b">
        <f t="shared" si="8"/>
        <v>0</v>
      </c>
      <c r="K62" t="b">
        <f t="shared" si="2"/>
        <v>0</v>
      </c>
      <c r="L62" t="b">
        <f t="shared" si="3"/>
        <v>0</v>
      </c>
      <c r="M62" t="b">
        <f t="shared" si="4"/>
        <v>1</v>
      </c>
      <c r="N62" t="b">
        <f t="shared" si="4"/>
        <v>0</v>
      </c>
      <c r="O62" t="b">
        <f t="shared" si="5"/>
        <v>0</v>
      </c>
      <c r="P62" t="b">
        <f t="shared" si="6"/>
        <v>0</v>
      </c>
      <c r="Q62" t="b">
        <f t="shared" si="7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0"/>
        <v>NORTHERN_EUROPE_NO_REGION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0</v>
      </c>
      <c r="M63" t="b">
        <f t="shared" si="4"/>
        <v>0</v>
      </c>
      <c r="N63" t="b">
        <f t="shared" si="4"/>
        <v>1</v>
      </c>
      <c r="O63" t="b">
        <f t="shared" si="5"/>
        <v>0</v>
      </c>
      <c r="P63" t="b">
        <f t="shared" si="6"/>
        <v>0</v>
      </c>
      <c r="Q63" t="b">
        <f t="shared" si="7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0"/>
        <v>NORTH_AMERICA_NO_REGION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0</v>
      </c>
      <c r="N64" t="b">
        <f t="shared" si="4"/>
        <v>0</v>
      </c>
      <c r="O64" t="b">
        <f t="shared" si="5"/>
        <v>1</v>
      </c>
      <c r="P64" t="b">
        <f t="shared" si="6"/>
        <v>0</v>
      </c>
      <c r="Q64" t="b">
        <f t="shared" si="7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0"/>
        <v>NORTH_AMERICA_NO_REGION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0</v>
      </c>
      <c r="N65" t="b">
        <f t="shared" si="4"/>
        <v>0</v>
      </c>
      <c r="O65" t="b">
        <f t="shared" si="5"/>
        <v>1</v>
      </c>
      <c r="P65" t="b">
        <f t="shared" si="6"/>
        <v>0</v>
      </c>
      <c r="Q65" t="b">
        <f t="shared" si="7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0"/>
        <v>WESTERN_EUROPE_NO_REGION</v>
      </c>
      <c r="I66" t="b">
        <f t="shared" si="1"/>
        <v>0</v>
      </c>
      <c r="J66" t="b">
        <f t="shared" si="8"/>
        <v>0</v>
      </c>
      <c r="K66" t="b">
        <f t="shared" si="2"/>
        <v>0</v>
      </c>
      <c r="L66" t="b">
        <f t="shared" si="3"/>
        <v>0</v>
      </c>
      <c r="M66" t="b">
        <f t="shared" si="4"/>
        <v>1</v>
      </c>
      <c r="N66" t="b">
        <f t="shared" si="4"/>
        <v>0</v>
      </c>
      <c r="O66" t="b">
        <f t="shared" si="5"/>
        <v>0</v>
      </c>
      <c r="P66" t="b">
        <f t="shared" si="6"/>
        <v>0</v>
      </c>
      <c r="Q66" t="b">
        <f t="shared" si="7"/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9">_xlfn.CONCAT($F67,"_",$G67)</f>
        <v>NORTH_AMERICA_NO_REGION</v>
      </c>
      <c r="I67" t="b">
        <f t="shared" ref="I67:I130" si="10">OR(ISNUMBER(SEARCH("ALL_REGION",$H67)),
ISNUMBER(SEARCH("AFRICA",$H67)),
ISNUMBER(SEARCH("REGIONTYPE1",$H67)),
ISNUMBER(SEARCH("REGIONTYPE2",$H67)))</f>
        <v>0</v>
      </c>
      <c r="J67" t="b">
        <f t="shared" si="8"/>
        <v>0</v>
      </c>
      <c r="K67" t="b">
        <f t="shared" ref="K67:K130" si="11">OR(ISNUMBER(SEARCH("ALL_REGION",$H67)),
ISNUMBER(SEARCH("ALL_EUROPE",$H67)),
ISNUMBER(SEARCH(K$1,$H67)),
ISNUMBER(SEARCH("REGIONTYPE1",$H67)))</f>
        <v>0</v>
      </c>
      <c r="L67" t="b">
        <f t="shared" ref="L67:L130" si="12">OR(ISNUMBER(SEARCH("ALL_REGION",$H67)),
ISNUMBER(SEARCH("ALL_EUROPE",$H67)),
ISNUMBER(SEARCH(L$1,$H67)),
ISNUMBER(SEARCH("REGIONTYPE1",$H67)),
ISNUMBER(SEARCH("REGIONTYPE4",$H67)),
ISNUMBER(SEARCH("REGIONTYPE5",$H67)))</f>
        <v>0</v>
      </c>
      <c r="M67" t="b">
        <f t="shared" ref="M67:N130" si="13">OR(ISNUMBER(SEARCH("ALL_REGION",$H67)),
ISNUMBER(SEARCH("ALL_EUROPE",$H67)),
ISNUMBER(SEARCH(M$1,$H67)),
ISNUMBER(SEARCH("REGIONTYPE1",$H67)),
ISNUMBER(SEARCH("REGIONTYPE6",$H67)))</f>
        <v>0</v>
      </c>
      <c r="N67" t="b">
        <f t="shared" si="13"/>
        <v>0</v>
      </c>
      <c r="O67" t="b">
        <f t="shared" ref="O67:O130" si="14">OR(ISNUMBER(SEARCH("ALL_REGION",$H67)),
ISNUMBER(SEARCH("ALL_AMERICA",$H67)),
ISNUMBER(SEARCH(O$1,$H67)),
ISNUMBER(SEARCH("REGIONTYPE2",$H67)))</f>
        <v>1</v>
      </c>
      <c r="P67" t="b">
        <f t="shared" ref="P67:P130" si="15">OR(ISNUMBER(SEARCH("ALL_REGION",$H67)),
ISNUMBER(SEARCH("ALL_AMERICA",$H67)),
ISNUMBER(SEARCH(P$1,$H67)),
ISNUMBER(SEARCH("REGIONTYPE2",$H67)),
ISNUMBER(SEARCH("REGIONTYPE5",$H67)))</f>
        <v>0</v>
      </c>
      <c r="Q67" t="b">
        <f t="shared" ref="Q67:Q130" si="16">OR(ISNUMBER(SEARCH("ALL_REGION",$H67)),
ISNUMBER(SEARCH(Q$1,$H67)),
ISNUMBER(SEARCH("REGIONTYPE3",$H67)))</f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9"/>
        <v>WESTERN_EUROPE_NO_REGION</v>
      </c>
      <c r="I68" t="b">
        <f t="shared" si="10"/>
        <v>0</v>
      </c>
      <c r="J68" t="b">
        <f t="shared" ref="J68:J131" si="17">OR(ISNUMBER(SEARCH("ALL_REGION",$H68)),
ISNUMBER(SEARCH("ASIA",$H68)),
ISNUMBER(SEARCH("REGIONTYPE1",$H68)),
ISNUMBER(SEARCH("REGIONTYPE2",$H68)),
ISNUMBER(SEARCH("REGIONTYPE3",$H68)),
ISNUMBER(SEARCH("REGIONTYPE4",$H68)))</f>
        <v>0</v>
      </c>
      <c r="K68" t="b">
        <f t="shared" si="11"/>
        <v>0</v>
      </c>
      <c r="L68" t="b">
        <f t="shared" si="12"/>
        <v>0</v>
      </c>
      <c r="M68" t="b">
        <f t="shared" si="13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9"/>
        <v>NORTH_AMERICA_NO_REGION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9"/>
        <v>NORTH_AMERICA_NO_REGION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9"/>
        <v>EASTERN_EUROPE_NO_REGION</v>
      </c>
      <c r="I71" t="b">
        <f t="shared" si="10"/>
        <v>0</v>
      </c>
      <c r="J71" t="b">
        <f t="shared" si="17"/>
        <v>0</v>
      </c>
      <c r="K71" t="b">
        <f t="shared" si="11"/>
        <v>0</v>
      </c>
      <c r="L71" t="b">
        <f t="shared" si="12"/>
        <v>1</v>
      </c>
      <c r="M71" t="b">
        <f t="shared" si="13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9"/>
        <v>WESTERN_EUROPE_NO_REGION</v>
      </c>
      <c r="I72" t="b">
        <f t="shared" si="10"/>
        <v>0</v>
      </c>
      <c r="J72" t="b">
        <f t="shared" si="17"/>
        <v>0</v>
      </c>
      <c r="K72" t="b">
        <f t="shared" si="11"/>
        <v>0</v>
      </c>
      <c r="L72" t="b">
        <f t="shared" si="12"/>
        <v>0</v>
      </c>
      <c r="M72" t="b">
        <f t="shared" si="13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9"/>
        <v>NORTHERN_EUROPE_NO_REGION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0</v>
      </c>
      <c r="M73" t="b">
        <f t="shared" si="13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9"/>
        <v>WESTERN_EUROPE_NO_REGION</v>
      </c>
      <c r="I74" t="b">
        <f t="shared" si="10"/>
        <v>0</v>
      </c>
      <c r="J74" t="b">
        <f t="shared" si="17"/>
        <v>0</v>
      </c>
      <c r="K74" t="b">
        <f t="shared" si="11"/>
        <v>0</v>
      </c>
      <c r="L74" t="b">
        <f t="shared" si="12"/>
        <v>0</v>
      </c>
      <c r="M74" t="b">
        <f t="shared" si="13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9"/>
        <v>WESTERN_EUROPE_NO_REGION</v>
      </c>
      <c r="I75" t="b">
        <f t="shared" si="10"/>
        <v>0</v>
      </c>
      <c r="J75" t="b">
        <f t="shared" si="17"/>
        <v>0</v>
      </c>
      <c r="K75" t="b">
        <f t="shared" si="11"/>
        <v>0</v>
      </c>
      <c r="L75" t="b">
        <f t="shared" si="12"/>
        <v>0</v>
      </c>
      <c r="M75" t="b">
        <f t="shared" si="13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9"/>
        <v>WESTERN_EUROPE_NO_REGION</v>
      </c>
      <c r="I76" t="b">
        <f t="shared" si="10"/>
        <v>0</v>
      </c>
      <c r="J76" t="b">
        <f t="shared" si="17"/>
        <v>0</v>
      </c>
      <c r="K76" t="b">
        <f t="shared" si="11"/>
        <v>0</v>
      </c>
      <c r="L76" t="b">
        <f t="shared" si="12"/>
        <v>0</v>
      </c>
      <c r="M76" t="b">
        <f t="shared" si="13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9"/>
        <v>OCEANIA_NO_REGION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9"/>
        <v>EASTERN_EUROPE_NO_REGION</v>
      </c>
      <c r="I78" t="b">
        <f t="shared" si="10"/>
        <v>0</v>
      </c>
      <c r="J78" t="b">
        <f t="shared" si="17"/>
        <v>0</v>
      </c>
      <c r="K78" t="b">
        <f t="shared" si="11"/>
        <v>0</v>
      </c>
      <c r="L78" t="b">
        <f t="shared" si="12"/>
        <v>1</v>
      </c>
      <c r="M78" t="b">
        <f t="shared" si="13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9"/>
        <v>SOUTHERN_EUROPE_NO_REGION</v>
      </c>
      <c r="I79" t="b">
        <f t="shared" si="10"/>
        <v>0</v>
      </c>
      <c r="J79" t="b">
        <f t="shared" si="17"/>
        <v>0</v>
      </c>
      <c r="K79" t="b">
        <f t="shared" si="11"/>
        <v>1</v>
      </c>
      <c r="L79" t="b">
        <f t="shared" si="12"/>
        <v>0</v>
      </c>
      <c r="M79" t="b">
        <f t="shared" si="13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9"/>
        <v>SOUTH_AMERICA_NO_REGION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9"/>
        <v>WESTERN_EUROPE_NO_REGION</v>
      </c>
      <c r="I81" t="b">
        <f t="shared" si="10"/>
        <v>0</v>
      </c>
      <c r="J81" t="b">
        <f t="shared" si="17"/>
        <v>0</v>
      </c>
      <c r="K81" t="b">
        <f t="shared" si="11"/>
        <v>0</v>
      </c>
      <c r="L81" t="b">
        <f t="shared" si="12"/>
        <v>0</v>
      </c>
      <c r="M81" t="b">
        <f t="shared" si="13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9"/>
        <v>WESTERN_EUROPE_NO_REGION</v>
      </c>
      <c r="I82" t="b">
        <f t="shared" si="10"/>
        <v>0</v>
      </c>
      <c r="J82" t="b">
        <f t="shared" si="17"/>
        <v>0</v>
      </c>
      <c r="K82" t="b">
        <f t="shared" si="11"/>
        <v>0</v>
      </c>
      <c r="L82" t="b">
        <f t="shared" si="12"/>
        <v>0</v>
      </c>
      <c r="M82" t="b">
        <f t="shared" si="13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9"/>
        <v>NORTHERN_EUROPE_NO_REGION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0</v>
      </c>
      <c r="M83" t="b">
        <f t="shared" si="13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9"/>
        <v>NORTHERN_EUROPE_NO_REGION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0</v>
      </c>
      <c r="M84" t="b">
        <f t="shared" si="13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9"/>
        <v>WESTERN_EUROPE_NO_REGION</v>
      </c>
      <c r="I85" t="b">
        <f t="shared" si="10"/>
        <v>0</v>
      </c>
      <c r="J85" t="b">
        <f t="shared" si="17"/>
        <v>0</v>
      </c>
      <c r="K85" t="b">
        <f t="shared" si="11"/>
        <v>0</v>
      </c>
      <c r="L85" t="b">
        <f t="shared" si="12"/>
        <v>0</v>
      </c>
      <c r="M85" t="b">
        <f t="shared" si="13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9"/>
        <v>NORTH_AMERICA_NO_REGION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9"/>
        <v>EASTERN_EUROPE_NO_REGION</v>
      </c>
      <c r="I87" t="b">
        <f t="shared" si="10"/>
        <v>0</v>
      </c>
      <c r="J87" t="b">
        <f t="shared" si="17"/>
        <v>0</v>
      </c>
      <c r="K87" t="b">
        <f t="shared" si="11"/>
        <v>0</v>
      </c>
      <c r="L87" t="b">
        <f t="shared" si="12"/>
        <v>1</v>
      </c>
      <c r="M87" t="b">
        <f t="shared" si="13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9"/>
        <v>NORTHERN_EUROPE_NO_REGION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0</v>
      </c>
      <c r="M88" t="b">
        <f t="shared" si="13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REGIONTYPE4</v>
      </c>
      <c r="G89" s="31" t="str">
        <f>_xlfn.XLOOKUP($A89,PROPERTIES[VEHIDCODE],PROPERTIES[REGION2])</f>
        <v>NO_REGION</v>
      </c>
      <c r="H89" s="31" t="str">
        <f t="shared" si="9"/>
        <v>REGIONTYPE4_NO_REGION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3"/>
        <v>0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9"/>
        <v>NORTHERN_EUROPE_NO_REGION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0</v>
      </c>
      <c r="M90" t="b">
        <f t="shared" si="13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9"/>
        <v>NORTH_AMERICA_NO_REGION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9"/>
        <v>NORTHERN_EUROPE_NO_REGION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0</v>
      </c>
      <c r="M92" t="b">
        <f t="shared" si="13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9"/>
        <v>ALL_EUROPE_ASIA</v>
      </c>
      <c r="I93" t="b">
        <f t="shared" si="10"/>
        <v>0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9"/>
        <v>NORTHERN_EUROPE_NO_REGION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0</v>
      </c>
      <c r="M94" t="b">
        <f t="shared" si="13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9"/>
        <v>AFRICA_NO_REGION</v>
      </c>
      <c r="I95" t="b">
        <f t="shared" si="10"/>
        <v>1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REGIONTYPE4</v>
      </c>
      <c r="G96" s="31" t="str">
        <f>_xlfn.XLOOKUP($A96,PROPERTIES[VEHIDCODE],PROPERTIES[REGION2])</f>
        <v>NO_REGION</v>
      </c>
      <c r="H96" s="31" t="str">
        <f t="shared" si="9"/>
        <v>REGIONTYPE4_NO_REGION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3"/>
        <v>0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9"/>
        <v>WESTERN_EUROPE_NO_REGION</v>
      </c>
      <c r="I97" t="b">
        <f t="shared" si="10"/>
        <v>0</v>
      </c>
      <c r="J97" t="b">
        <f t="shared" si="17"/>
        <v>0</v>
      </c>
      <c r="K97" t="b">
        <f t="shared" si="11"/>
        <v>0</v>
      </c>
      <c r="L97" t="b">
        <f t="shared" si="12"/>
        <v>0</v>
      </c>
      <c r="M97" t="b">
        <f t="shared" si="13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9"/>
        <v>SOUTHERN_EUROPE_NO_REGION</v>
      </c>
      <c r="I98" t="b">
        <f t="shared" si="10"/>
        <v>0</v>
      </c>
      <c r="J98" t="b">
        <f t="shared" si="17"/>
        <v>0</v>
      </c>
      <c r="K98" t="b">
        <f t="shared" si="11"/>
        <v>1</v>
      </c>
      <c r="L98" t="b">
        <f t="shared" si="12"/>
        <v>0</v>
      </c>
      <c r="M98" t="b">
        <f t="shared" si="13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9"/>
        <v>EASTERN_EUROPE_NO_REGION</v>
      </c>
      <c r="I99" t="b">
        <f t="shared" si="10"/>
        <v>0</v>
      </c>
      <c r="J99" t="b">
        <f t="shared" si="17"/>
        <v>0</v>
      </c>
      <c r="K99" t="b">
        <f t="shared" si="11"/>
        <v>0</v>
      </c>
      <c r="L99" t="b">
        <f t="shared" si="12"/>
        <v>1</v>
      </c>
      <c r="M99" t="b">
        <f t="shared" si="13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9"/>
        <v>WESTERN_EUROPE_NO_REGION</v>
      </c>
      <c r="I100" t="b">
        <f t="shared" si="10"/>
        <v>0</v>
      </c>
      <c r="J100" t="b">
        <f t="shared" si="17"/>
        <v>0</v>
      </c>
      <c r="K100" t="b">
        <f t="shared" si="11"/>
        <v>0</v>
      </c>
      <c r="L100" t="b">
        <f t="shared" si="12"/>
        <v>0</v>
      </c>
      <c r="M100" t="b">
        <f t="shared" si="13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9"/>
        <v>NORTH_AMERICA_NO_REGION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9"/>
        <v>WESTERN_EUROPE_NO_REGION</v>
      </c>
      <c r="I102" t="b">
        <f t="shared" si="10"/>
        <v>0</v>
      </c>
      <c r="J102" t="b">
        <f t="shared" si="17"/>
        <v>0</v>
      </c>
      <c r="K102" t="b">
        <f t="shared" si="11"/>
        <v>0</v>
      </c>
      <c r="L102" t="b">
        <f t="shared" si="12"/>
        <v>0</v>
      </c>
      <c r="M102" t="b">
        <f t="shared" si="13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9"/>
        <v>NORTHERN_EUROPE_NO_REGION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0</v>
      </c>
      <c r="M103" t="b">
        <f t="shared" si="13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9"/>
        <v>OCEANIA_NO_REGION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9"/>
        <v>NORTH_AMERICA_NO_REGION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9"/>
        <v>WESTERN_EUROPE_NO_REGION</v>
      </c>
      <c r="I106" t="b">
        <f t="shared" si="10"/>
        <v>0</v>
      </c>
      <c r="J106" t="b">
        <f t="shared" si="17"/>
        <v>0</v>
      </c>
      <c r="K106" t="b">
        <f t="shared" si="11"/>
        <v>0</v>
      </c>
      <c r="L106" t="b">
        <f t="shared" si="12"/>
        <v>0</v>
      </c>
      <c r="M106" t="b">
        <f t="shared" si="13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9"/>
        <v>AFRICA_NO_REGION</v>
      </c>
      <c r="I107" t="b">
        <f t="shared" si="10"/>
        <v>1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9"/>
        <v>OCEANIA_NO_REGION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9"/>
        <v>NORTH_AMERICA_NO_REGION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9"/>
        <v>AFRICA_NO_REGION</v>
      </c>
      <c r="I110" t="b">
        <f t="shared" si="10"/>
        <v>1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9"/>
        <v>SOUTHERN_EUROPE_NO_REGION</v>
      </c>
      <c r="I111" t="b">
        <f t="shared" si="10"/>
        <v>0</v>
      </c>
      <c r="J111" t="b">
        <f t="shared" si="17"/>
        <v>0</v>
      </c>
      <c r="K111" t="b">
        <f t="shared" si="11"/>
        <v>1</v>
      </c>
      <c r="L111" t="b">
        <f t="shared" si="12"/>
        <v>0</v>
      </c>
      <c r="M111" t="b">
        <f t="shared" si="13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9"/>
        <v>WESTERN_EUROPE_NO_REGION</v>
      </c>
      <c r="I112" t="b">
        <f t="shared" si="10"/>
        <v>0</v>
      </c>
      <c r="J112" t="b">
        <f t="shared" si="17"/>
        <v>0</v>
      </c>
      <c r="K112" t="b">
        <f t="shared" si="11"/>
        <v>0</v>
      </c>
      <c r="L112" t="b">
        <f t="shared" si="12"/>
        <v>0</v>
      </c>
      <c r="M112" t="b">
        <f t="shared" si="13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9"/>
        <v>WESTERN_EUROPE_NO_REGION</v>
      </c>
      <c r="I113" t="b">
        <f t="shared" si="10"/>
        <v>0</v>
      </c>
      <c r="J113" t="b">
        <f t="shared" si="17"/>
        <v>0</v>
      </c>
      <c r="K113" t="b">
        <f t="shared" si="11"/>
        <v>0</v>
      </c>
      <c r="L113" t="b">
        <f t="shared" si="12"/>
        <v>0</v>
      </c>
      <c r="M113" t="b">
        <f t="shared" si="13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9"/>
        <v>NORTHERN_EUROPE_NO_REGION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0</v>
      </c>
      <c r="M114" t="b">
        <f t="shared" si="13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9"/>
        <v>NORTH_AMERICA_NO_REGION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9"/>
        <v>WESTERN_EUROPE_NO_REGION</v>
      </c>
      <c r="I116" t="b">
        <f t="shared" si="10"/>
        <v>0</v>
      </c>
      <c r="J116" t="b">
        <f t="shared" si="17"/>
        <v>0</v>
      </c>
      <c r="K116" t="b">
        <f t="shared" si="11"/>
        <v>0</v>
      </c>
      <c r="L116" t="b">
        <f t="shared" si="12"/>
        <v>0</v>
      </c>
      <c r="M116" t="b">
        <f t="shared" si="13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9"/>
        <v>AFRICA_NO_REGION</v>
      </c>
      <c r="I117" t="b">
        <f t="shared" si="10"/>
        <v>1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9"/>
        <v>AFRICA_NO_REGION</v>
      </c>
      <c r="I118" t="b">
        <f t="shared" si="10"/>
        <v>1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9"/>
        <v>NORTHERN_EUROPE_NO_REGION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0</v>
      </c>
      <c r="M119" t="b">
        <f t="shared" si="13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9"/>
        <v>WESTERN_EUROPE_NO_REGION</v>
      </c>
      <c r="I120" t="b">
        <f t="shared" si="10"/>
        <v>0</v>
      </c>
      <c r="J120" t="b">
        <f t="shared" si="17"/>
        <v>0</v>
      </c>
      <c r="K120" t="b">
        <f t="shared" si="11"/>
        <v>0</v>
      </c>
      <c r="L120" t="b">
        <f t="shared" si="12"/>
        <v>0</v>
      </c>
      <c r="M120" t="b">
        <f t="shared" si="13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9"/>
        <v>WESTERN_EUROPE_NO_REGION</v>
      </c>
      <c r="I121" t="b">
        <f t="shared" si="10"/>
        <v>0</v>
      </c>
      <c r="J121" t="b">
        <f t="shared" si="17"/>
        <v>0</v>
      </c>
      <c r="K121" t="b">
        <f t="shared" si="11"/>
        <v>0</v>
      </c>
      <c r="L121" t="b">
        <f t="shared" si="12"/>
        <v>0</v>
      </c>
      <c r="M121" t="b">
        <f t="shared" si="13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9"/>
        <v>NORTHERN_EUROPE_NO_REGION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0</v>
      </c>
      <c r="M122" t="b">
        <f t="shared" si="13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9"/>
        <v>NORTH_AMERICA_NO_REGION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9"/>
        <v>NORTH_AMERICA_NO_REGION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9"/>
        <v>ASIA_NO_REGION</v>
      </c>
      <c r="I125" t="b">
        <f t="shared" si="10"/>
        <v>0</v>
      </c>
      <c r="J125" t="b">
        <f t="shared" si="17"/>
        <v>1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9"/>
        <v>ASIA_NO_REGION</v>
      </c>
      <c r="I126" t="b">
        <f t="shared" si="10"/>
        <v>0</v>
      </c>
      <c r="J126" t="b">
        <f t="shared" si="17"/>
        <v>1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9"/>
        <v>AFRICA_WESTERN_EUROPE</v>
      </c>
      <c r="I127" t="b">
        <f t="shared" si="10"/>
        <v>1</v>
      </c>
      <c r="J127" t="b">
        <f t="shared" si="17"/>
        <v>0</v>
      </c>
      <c r="K127" t="b">
        <f t="shared" si="11"/>
        <v>0</v>
      </c>
      <c r="L127" t="b">
        <f t="shared" si="12"/>
        <v>0</v>
      </c>
      <c r="M127" t="b">
        <f t="shared" si="13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9"/>
        <v>NORTHERN_EUROPE_NO_REGION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0</v>
      </c>
      <c r="M128" t="b">
        <f t="shared" si="13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9"/>
        <v>OCEANIA_NO_REGION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9"/>
        <v>WESTERN_EUROPE_NO_REGION</v>
      </c>
      <c r="I130" t="b">
        <f t="shared" si="10"/>
        <v>0</v>
      </c>
      <c r="J130" t="b">
        <f t="shared" si="17"/>
        <v>0</v>
      </c>
      <c r="K130" t="b">
        <f t="shared" si="11"/>
        <v>0</v>
      </c>
      <c r="L130" t="b">
        <f t="shared" si="12"/>
        <v>0</v>
      </c>
      <c r="M130" t="b">
        <f t="shared" si="13"/>
        <v>1</v>
      </c>
      <c r="N130" t="b">
        <f t="shared" si="13"/>
        <v>0</v>
      </c>
      <c r="O130" t="b">
        <f t="shared" si="14"/>
        <v>0</v>
      </c>
      <c r="P130" t="b">
        <f t="shared" si="15"/>
        <v>0</v>
      </c>
      <c r="Q130" t="b">
        <f t="shared" si="16"/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18">_xlfn.CONCAT($F131,"_",$G131)</f>
        <v>WESTERN_EUROPE_NO_REGION</v>
      </c>
      <c r="I131" t="b">
        <f t="shared" ref="I131:I194" si="19">OR(ISNUMBER(SEARCH("ALL_REGION",$H131)),
ISNUMBER(SEARCH("AFRICA",$H131)),
ISNUMBER(SEARCH("REGIONTYPE1",$H131)),
ISNUMBER(SEARCH("REGIONTYPE2",$H131)))</f>
        <v>0</v>
      </c>
      <c r="J131" t="b">
        <f t="shared" si="17"/>
        <v>0</v>
      </c>
      <c r="K131" t="b">
        <f t="shared" ref="K131:K194" si="20">OR(ISNUMBER(SEARCH("ALL_REGION",$H131)),
ISNUMBER(SEARCH("ALL_EUROPE",$H131)),
ISNUMBER(SEARCH(K$1,$H131)),
ISNUMBER(SEARCH("REGIONTYPE1",$H131)))</f>
        <v>0</v>
      </c>
      <c r="L131" t="b">
        <f t="shared" ref="L131:L194" si="21">OR(ISNUMBER(SEARCH("ALL_REGION",$H131)),
ISNUMBER(SEARCH("ALL_EUROPE",$H131)),
ISNUMBER(SEARCH(L$1,$H131)),
ISNUMBER(SEARCH("REGIONTYPE1",$H131)),
ISNUMBER(SEARCH("REGIONTYPE4",$H131)),
ISNUMBER(SEARCH("REGIONTYPE5",$H131)))</f>
        <v>0</v>
      </c>
      <c r="M131" t="b">
        <f t="shared" ref="M131:N194" si="22">OR(ISNUMBER(SEARCH("ALL_REGION",$H131)),
ISNUMBER(SEARCH("ALL_EUROPE",$H131)),
ISNUMBER(SEARCH(M$1,$H131)),
ISNUMBER(SEARCH("REGIONTYPE1",$H131)),
ISNUMBER(SEARCH("REGIONTYPE6",$H131)))</f>
        <v>1</v>
      </c>
      <c r="N131" t="b">
        <f t="shared" si="22"/>
        <v>0</v>
      </c>
      <c r="O131" t="b">
        <f t="shared" ref="O131:O194" si="23">OR(ISNUMBER(SEARCH("ALL_REGION",$H131)),
ISNUMBER(SEARCH("ALL_AMERICA",$H131)),
ISNUMBER(SEARCH(O$1,$H131)),
ISNUMBER(SEARCH("REGIONTYPE2",$H131)))</f>
        <v>0</v>
      </c>
      <c r="P131" t="b">
        <f t="shared" ref="P131:P194" si="24">OR(ISNUMBER(SEARCH("ALL_REGION",$H131)),
ISNUMBER(SEARCH("ALL_AMERICA",$H131)),
ISNUMBER(SEARCH(P$1,$H131)),
ISNUMBER(SEARCH("REGIONTYPE2",$H131)),
ISNUMBER(SEARCH("REGIONTYPE5",$H131)))</f>
        <v>0</v>
      </c>
      <c r="Q131" t="b">
        <f t="shared" ref="Q131:Q194" si="25">OR(ISNUMBER(SEARCH("ALL_REGION",$H131)),
ISNUMBER(SEARCH(Q$1,$H131)),
ISNUMBER(SEARCH("REGIONTYPE3",$H131)))</f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18"/>
        <v>OCEANIA_NO_REGION</v>
      </c>
      <c r="I132" t="b">
        <f t="shared" si="19"/>
        <v>0</v>
      </c>
      <c r="J132" t="b">
        <f t="shared" ref="J132:J195" si="26">OR(ISNUMBER(SEARCH("ALL_REGION",$H132)),
ISNUMBER(SEARCH("ASIA",$H132)),
ISNUMBER(SEARCH("REGIONTYPE1",$H132)),
ISNUMBER(SEARCH("REGIONTYPE2",$H132)),
ISNUMBER(SEARCH("REGIONTYPE3",$H132)),
ISNUMBER(SEARCH("REGIONTYPE4",$H132)))</f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2"/>
        <v>0</v>
      </c>
      <c r="O132" t="b">
        <f t="shared" si="23"/>
        <v>0</v>
      </c>
      <c r="P132" t="b">
        <f t="shared" si="24"/>
        <v>0</v>
      </c>
      <c r="Q132" t="b">
        <f t="shared" si="25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18"/>
        <v>OCEANIA_NO_REGION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2"/>
        <v>0</v>
      </c>
      <c r="O133" t="b">
        <f t="shared" si="23"/>
        <v>0</v>
      </c>
      <c r="P133" t="b">
        <f t="shared" si="24"/>
        <v>0</v>
      </c>
      <c r="Q133" t="b">
        <f t="shared" si="25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18"/>
        <v>OCEANIA_NO_REGION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2"/>
        <v>0</v>
      </c>
      <c r="O134" t="b">
        <f t="shared" si="23"/>
        <v>0</v>
      </c>
      <c r="P134" t="b">
        <f t="shared" si="24"/>
        <v>0</v>
      </c>
      <c r="Q134" t="b">
        <f t="shared" si="25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18"/>
        <v>OCEANIA_NO_REGION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2"/>
        <v>0</v>
      </c>
      <c r="O135" t="b">
        <f t="shared" si="23"/>
        <v>0</v>
      </c>
      <c r="P135" t="b">
        <f t="shared" si="24"/>
        <v>0</v>
      </c>
      <c r="Q135" t="b">
        <f t="shared" si="25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18"/>
        <v>SOUTH_AMERICA_NO_REGION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2"/>
        <v>0</v>
      </c>
      <c r="O136" t="b">
        <f t="shared" si="23"/>
        <v>0</v>
      </c>
      <c r="P136" t="b">
        <f t="shared" si="24"/>
        <v>1</v>
      </c>
      <c r="Q136" t="b">
        <f t="shared" si="25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18"/>
        <v>SOUTH_AMERICA_NO_REGION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2"/>
        <v>0</v>
      </c>
      <c r="O137" t="b">
        <f t="shared" si="23"/>
        <v>0</v>
      </c>
      <c r="P137" t="b">
        <f t="shared" si="24"/>
        <v>1</v>
      </c>
      <c r="Q137" t="b">
        <f t="shared" si="25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18"/>
        <v>AFRICA_NO_REGION</v>
      </c>
      <c r="I138" t="b">
        <f t="shared" si="19"/>
        <v>1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2"/>
        <v>0</v>
      </c>
      <c r="O138" t="b">
        <f t="shared" si="23"/>
        <v>0</v>
      </c>
      <c r="P138" t="b">
        <f t="shared" si="24"/>
        <v>0</v>
      </c>
      <c r="Q138" t="b">
        <f t="shared" si="25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18"/>
        <v>AFRICA_NO_REGION</v>
      </c>
      <c r="I139" t="b">
        <f t="shared" si="19"/>
        <v>1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2"/>
        <v>0</v>
      </c>
      <c r="O139" t="b">
        <f t="shared" si="23"/>
        <v>0</v>
      </c>
      <c r="P139" t="b">
        <f t="shared" si="24"/>
        <v>0</v>
      </c>
      <c r="Q139" t="b">
        <f t="shared" si="25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18"/>
        <v>AFRICA_NO_REGION</v>
      </c>
      <c r="I140" t="b">
        <f t="shared" si="19"/>
        <v>1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2"/>
        <v>0</v>
      </c>
      <c r="O140" t="b">
        <f t="shared" si="23"/>
        <v>0</v>
      </c>
      <c r="P140" t="b">
        <f t="shared" si="24"/>
        <v>0</v>
      </c>
      <c r="Q140" t="b">
        <f t="shared" si="25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18"/>
        <v>AFRICA_NO_REGION</v>
      </c>
      <c r="I141" t="b">
        <f t="shared" si="19"/>
        <v>1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2"/>
        <v>0</v>
      </c>
      <c r="O141" t="b">
        <f t="shared" si="23"/>
        <v>0</v>
      </c>
      <c r="P141" t="b">
        <f t="shared" si="24"/>
        <v>0</v>
      </c>
      <c r="Q141" t="b">
        <f t="shared" si="25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18"/>
        <v>AFRICA_NO_REGION</v>
      </c>
      <c r="I142" t="b">
        <f t="shared" si="19"/>
        <v>1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2"/>
        <v>0</v>
      </c>
      <c r="O142" t="b">
        <f t="shared" si="23"/>
        <v>0</v>
      </c>
      <c r="P142" t="b">
        <f t="shared" si="24"/>
        <v>0</v>
      </c>
      <c r="Q142" t="b">
        <f t="shared" si="25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18"/>
        <v>AFRICA_NO_REGION</v>
      </c>
      <c r="I143" t="b">
        <f t="shared" si="19"/>
        <v>1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2"/>
        <v>0</v>
      </c>
      <c r="O143" t="b">
        <f t="shared" si="23"/>
        <v>0</v>
      </c>
      <c r="P143" t="b">
        <f t="shared" si="24"/>
        <v>0</v>
      </c>
      <c r="Q143" t="b">
        <f t="shared" si="25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18"/>
        <v>AFRICA_NO_REGION</v>
      </c>
      <c r="I144" t="b">
        <f t="shared" si="19"/>
        <v>1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2"/>
        <v>0</v>
      </c>
      <c r="O144" t="b">
        <f t="shared" si="23"/>
        <v>0</v>
      </c>
      <c r="P144" t="b">
        <f t="shared" si="24"/>
        <v>0</v>
      </c>
      <c r="Q144" t="b">
        <f t="shared" si="25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18"/>
        <v>AFRICA_NO_REGION</v>
      </c>
      <c r="I145" t="b">
        <f t="shared" si="19"/>
        <v>1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2"/>
        <v>0</v>
      </c>
      <c r="O145" t="b">
        <f t="shared" si="23"/>
        <v>0</v>
      </c>
      <c r="P145" t="b">
        <f t="shared" si="24"/>
        <v>0</v>
      </c>
      <c r="Q145" t="b">
        <f t="shared" si="25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18"/>
        <v>ASIA_NO_REGION</v>
      </c>
      <c r="I146" t="b">
        <f t="shared" si="19"/>
        <v>0</v>
      </c>
      <c r="J146" t="b">
        <f t="shared" si="26"/>
        <v>1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2"/>
        <v>0</v>
      </c>
      <c r="O146" t="b">
        <f t="shared" si="23"/>
        <v>0</v>
      </c>
      <c r="P146" t="b">
        <f t="shared" si="24"/>
        <v>0</v>
      </c>
      <c r="Q146" t="b">
        <f t="shared" si="25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18"/>
        <v>ASIA_NO_REGION</v>
      </c>
      <c r="I147" t="b">
        <f t="shared" si="19"/>
        <v>0</v>
      </c>
      <c r="J147" t="b">
        <f t="shared" si="26"/>
        <v>1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2"/>
        <v>0</v>
      </c>
      <c r="O147" t="b">
        <f t="shared" si="23"/>
        <v>0</v>
      </c>
      <c r="P147" t="b">
        <f t="shared" si="24"/>
        <v>0</v>
      </c>
      <c r="Q147" t="b">
        <f t="shared" si="25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18"/>
        <v>ASIA_NO_REGION</v>
      </c>
      <c r="I148" t="b">
        <f t="shared" si="19"/>
        <v>0</v>
      </c>
      <c r="J148" t="b">
        <f t="shared" si="26"/>
        <v>1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2"/>
        <v>0</v>
      </c>
      <c r="O148" t="b">
        <f t="shared" si="23"/>
        <v>0</v>
      </c>
      <c r="P148" t="b">
        <f t="shared" si="24"/>
        <v>0</v>
      </c>
      <c r="Q148" t="b">
        <f t="shared" si="25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REGIONTYPE4</v>
      </c>
      <c r="G149" s="31" t="str">
        <f>_xlfn.XLOOKUP($A149,PROPERTIES[VEHIDCODE],PROPERTIES[REGION2])</f>
        <v>NO_REGION</v>
      </c>
      <c r="H149" s="31" t="str">
        <f t="shared" si="18"/>
        <v>REGIONTYPE4_NO_REGION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2"/>
        <v>0</v>
      </c>
      <c r="O149" t="b">
        <f t="shared" si="23"/>
        <v>0</v>
      </c>
      <c r="P149" t="b">
        <f t="shared" si="24"/>
        <v>0</v>
      </c>
      <c r="Q149" t="b">
        <f t="shared" si="25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REGIONTYPE4</v>
      </c>
      <c r="G150" s="31" t="str">
        <f>_xlfn.XLOOKUP($A150,PROPERTIES[VEHIDCODE],PROPERTIES[REGION2])</f>
        <v>NORTHERN_EUROPE</v>
      </c>
      <c r="H150" s="31" t="str">
        <f t="shared" si="18"/>
        <v>REGIONTYPE4_NORTHERN_EUROPE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2"/>
        <v>1</v>
      </c>
      <c r="O150" t="b">
        <f t="shared" si="23"/>
        <v>0</v>
      </c>
      <c r="P150" t="b">
        <f t="shared" si="24"/>
        <v>0</v>
      </c>
      <c r="Q150" t="b">
        <f t="shared" si="25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18"/>
        <v>ASIA_NO_REGION</v>
      </c>
      <c r="I151" t="b">
        <f t="shared" si="19"/>
        <v>0</v>
      </c>
      <c r="J151" t="b">
        <f t="shared" si="26"/>
        <v>1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2"/>
        <v>0</v>
      </c>
      <c r="O151" t="b">
        <f t="shared" si="23"/>
        <v>0</v>
      </c>
      <c r="P151" t="b">
        <f t="shared" si="24"/>
        <v>0</v>
      </c>
      <c r="Q151" t="b">
        <f t="shared" si="25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18"/>
        <v>SOUTHERN_EUROPE_NO_REGION</v>
      </c>
      <c r="I152" t="b">
        <f t="shared" si="19"/>
        <v>0</v>
      </c>
      <c r="J152" t="b">
        <f t="shared" si="26"/>
        <v>0</v>
      </c>
      <c r="K152" t="b">
        <f t="shared" si="20"/>
        <v>1</v>
      </c>
      <c r="L152" t="b">
        <f t="shared" si="21"/>
        <v>0</v>
      </c>
      <c r="M152" t="b">
        <f t="shared" si="22"/>
        <v>0</v>
      </c>
      <c r="N152" t="b">
        <f t="shared" si="22"/>
        <v>0</v>
      </c>
      <c r="O152" t="b">
        <f t="shared" si="23"/>
        <v>0</v>
      </c>
      <c r="P152" t="b">
        <f t="shared" si="24"/>
        <v>0</v>
      </c>
      <c r="Q152" t="b">
        <f t="shared" si="25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18"/>
        <v>SOUTHERN_EUROPE_NO_REGION</v>
      </c>
      <c r="I153" t="b">
        <f t="shared" si="19"/>
        <v>0</v>
      </c>
      <c r="J153" t="b">
        <f t="shared" si="26"/>
        <v>0</v>
      </c>
      <c r="K153" t="b">
        <f t="shared" si="20"/>
        <v>1</v>
      </c>
      <c r="L153" t="b">
        <f t="shared" si="21"/>
        <v>0</v>
      </c>
      <c r="M153" t="b">
        <f t="shared" si="22"/>
        <v>0</v>
      </c>
      <c r="N153" t="b">
        <f t="shared" si="22"/>
        <v>0</v>
      </c>
      <c r="O153" t="b">
        <f t="shared" si="23"/>
        <v>0</v>
      </c>
      <c r="P153" t="b">
        <f t="shared" si="24"/>
        <v>0</v>
      </c>
      <c r="Q153" t="b">
        <f t="shared" si="25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18"/>
        <v>SOUTHERN_EUROPE_NO_REGION</v>
      </c>
      <c r="I154" t="b">
        <f t="shared" si="19"/>
        <v>0</v>
      </c>
      <c r="J154" t="b">
        <f t="shared" si="26"/>
        <v>0</v>
      </c>
      <c r="K154" t="b">
        <f t="shared" si="20"/>
        <v>1</v>
      </c>
      <c r="L154" t="b">
        <f t="shared" si="21"/>
        <v>0</v>
      </c>
      <c r="M154" t="b">
        <f t="shared" si="22"/>
        <v>0</v>
      </c>
      <c r="N154" t="b">
        <f t="shared" si="22"/>
        <v>0</v>
      </c>
      <c r="O154" t="b">
        <f t="shared" si="23"/>
        <v>0</v>
      </c>
      <c r="P154" t="b">
        <f t="shared" si="24"/>
        <v>0</v>
      </c>
      <c r="Q154" t="b">
        <f t="shared" si="25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18"/>
        <v>SOUTHERN_EUROPE_NO_REGION</v>
      </c>
      <c r="I155" t="b">
        <f t="shared" si="19"/>
        <v>0</v>
      </c>
      <c r="J155" t="b">
        <f t="shared" si="26"/>
        <v>0</v>
      </c>
      <c r="K155" t="b">
        <f t="shared" si="20"/>
        <v>1</v>
      </c>
      <c r="L155" t="b">
        <f t="shared" si="21"/>
        <v>0</v>
      </c>
      <c r="M155" t="b">
        <f t="shared" si="22"/>
        <v>0</v>
      </c>
      <c r="N155" t="b">
        <f t="shared" si="22"/>
        <v>0</v>
      </c>
      <c r="O155" t="b">
        <f t="shared" si="23"/>
        <v>0</v>
      </c>
      <c r="P155" t="b">
        <f t="shared" si="24"/>
        <v>0</v>
      </c>
      <c r="Q155" t="b">
        <f t="shared" si="25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18"/>
        <v>SOUTHERN_EUROPE_NO_REGION</v>
      </c>
      <c r="I156" t="b">
        <f t="shared" si="19"/>
        <v>0</v>
      </c>
      <c r="J156" t="b">
        <f t="shared" si="26"/>
        <v>0</v>
      </c>
      <c r="K156" t="b">
        <f t="shared" si="20"/>
        <v>1</v>
      </c>
      <c r="L156" t="b">
        <f t="shared" si="21"/>
        <v>0</v>
      </c>
      <c r="M156" t="b">
        <f t="shared" si="22"/>
        <v>0</v>
      </c>
      <c r="N156" t="b">
        <f t="shared" si="22"/>
        <v>0</v>
      </c>
      <c r="O156" t="b">
        <f t="shared" si="23"/>
        <v>0</v>
      </c>
      <c r="P156" t="b">
        <f t="shared" si="24"/>
        <v>0</v>
      </c>
      <c r="Q156" t="b">
        <f t="shared" si="25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18"/>
        <v>EASTERN_EUROPE_NO_REGION</v>
      </c>
      <c r="I157" t="b">
        <f t="shared" si="19"/>
        <v>0</v>
      </c>
      <c r="J157" t="b">
        <f t="shared" si="26"/>
        <v>0</v>
      </c>
      <c r="K157" t="b">
        <f t="shared" si="20"/>
        <v>0</v>
      </c>
      <c r="L157" t="b">
        <f t="shared" si="21"/>
        <v>1</v>
      </c>
      <c r="M157" t="b">
        <f t="shared" si="22"/>
        <v>0</v>
      </c>
      <c r="N157" t="b">
        <f t="shared" si="22"/>
        <v>0</v>
      </c>
      <c r="O157" t="b">
        <f t="shared" si="23"/>
        <v>0</v>
      </c>
      <c r="P157" t="b">
        <f t="shared" si="24"/>
        <v>0</v>
      </c>
      <c r="Q157" t="b">
        <f t="shared" si="25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18"/>
        <v>EASTERN_EUROPE_NO_REGION</v>
      </c>
      <c r="I158" t="b">
        <f t="shared" si="19"/>
        <v>0</v>
      </c>
      <c r="J158" t="b">
        <f t="shared" si="26"/>
        <v>0</v>
      </c>
      <c r="K158" t="b">
        <f t="shared" si="20"/>
        <v>0</v>
      </c>
      <c r="L158" t="b">
        <f t="shared" si="21"/>
        <v>1</v>
      </c>
      <c r="M158" t="b">
        <f t="shared" si="22"/>
        <v>0</v>
      </c>
      <c r="N158" t="b">
        <f t="shared" si="22"/>
        <v>0</v>
      </c>
      <c r="O158" t="b">
        <f t="shared" si="23"/>
        <v>0</v>
      </c>
      <c r="P158" t="b">
        <f t="shared" si="24"/>
        <v>0</v>
      </c>
      <c r="Q158" t="b">
        <f t="shared" si="25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18"/>
        <v>EASTERN_EUROPE_NO_REGION</v>
      </c>
      <c r="I159" t="b">
        <f t="shared" si="19"/>
        <v>0</v>
      </c>
      <c r="J159" t="b">
        <f t="shared" si="26"/>
        <v>0</v>
      </c>
      <c r="K159" t="b">
        <f t="shared" si="20"/>
        <v>0</v>
      </c>
      <c r="L159" t="b">
        <f t="shared" si="21"/>
        <v>1</v>
      </c>
      <c r="M159" t="b">
        <f t="shared" si="22"/>
        <v>0</v>
      </c>
      <c r="N159" t="b">
        <f t="shared" si="22"/>
        <v>0</v>
      </c>
      <c r="O159" t="b">
        <f t="shared" si="23"/>
        <v>0</v>
      </c>
      <c r="P159" t="b">
        <f t="shared" si="24"/>
        <v>0</v>
      </c>
      <c r="Q159" t="b">
        <f t="shared" si="25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18"/>
        <v>EASTERN_EUROPE_NO_REGION</v>
      </c>
      <c r="I160" t="b">
        <f t="shared" si="19"/>
        <v>0</v>
      </c>
      <c r="J160" t="b">
        <f t="shared" si="26"/>
        <v>0</v>
      </c>
      <c r="K160" t="b">
        <f t="shared" si="20"/>
        <v>0</v>
      </c>
      <c r="L160" t="b">
        <f t="shared" si="21"/>
        <v>1</v>
      </c>
      <c r="M160" t="b">
        <f t="shared" si="22"/>
        <v>0</v>
      </c>
      <c r="N160" t="b">
        <f t="shared" si="22"/>
        <v>0</v>
      </c>
      <c r="O160" t="b">
        <f t="shared" si="23"/>
        <v>0</v>
      </c>
      <c r="P160" t="b">
        <f t="shared" si="24"/>
        <v>0</v>
      </c>
      <c r="Q160" t="b">
        <f t="shared" si="25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18"/>
        <v>EASTERN_EUROPE_NO_REGION</v>
      </c>
      <c r="I161" t="b">
        <f t="shared" si="19"/>
        <v>0</v>
      </c>
      <c r="J161" t="b">
        <f t="shared" si="26"/>
        <v>0</v>
      </c>
      <c r="K161" t="b">
        <f t="shared" si="20"/>
        <v>0</v>
      </c>
      <c r="L161" t="b">
        <f t="shared" si="21"/>
        <v>1</v>
      </c>
      <c r="M161" t="b">
        <f t="shared" si="22"/>
        <v>0</v>
      </c>
      <c r="N161" t="b">
        <f t="shared" si="22"/>
        <v>0</v>
      </c>
      <c r="O161" t="b">
        <f t="shared" si="23"/>
        <v>0</v>
      </c>
      <c r="P161" t="b">
        <f t="shared" si="24"/>
        <v>0</v>
      </c>
      <c r="Q161" t="b">
        <f t="shared" si="25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18"/>
        <v>EASTERN_EUROPE_ASIA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1</v>
      </c>
      <c r="M162" t="b">
        <f t="shared" si="22"/>
        <v>0</v>
      </c>
      <c r="N162" t="b">
        <f t="shared" si="22"/>
        <v>0</v>
      </c>
      <c r="O162" t="b">
        <f t="shared" si="23"/>
        <v>0</v>
      </c>
      <c r="P162" t="b">
        <f t="shared" si="24"/>
        <v>0</v>
      </c>
      <c r="Q162" t="b">
        <f t="shared" si="25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18"/>
        <v>WESTERN_EUROPE_NO_REGION</v>
      </c>
      <c r="I163" t="b">
        <f t="shared" si="19"/>
        <v>0</v>
      </c>
      <c r="J163" t="b">
        <f t="shared" si="26"/>
        <v>0</v>
      </c>
      <c r="K163" t="b">
        <f t="shared" si="20"/>
        <v>0</v>
      </c>
      <c r="L163" t="b">
        <f t="shared" si="21"/>
        <v>0</v>
      </c>
      <c r="M163" t="b">
        <f t="shared" si="22"/>
        <v>1</v>
      </c>
      <c r="N163" t="b">
        <f t="shared" si="22"/>
        <v>0</v>
      </c>
      <c r="O163" t="b">
        <f t="shared" si="23"/>
        <v>0</v>
      </c>
      <c r="P163" t="b">
        <f t="shared" si="24"/>
        <v>0</v>
      </c>
      <c r="Q163" t="b">
        <f t="shared" si="25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18"/>
        <v>NORTH_AMERICA_NO_REGION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0</v>
      </c>
      <c r="N164" t="b">
        <f t="shared" si="22"/>
        <v>0</v>
      </c>
      <c r="O164" t="b">
        <f t="shared" si="23"/>
        <v>1</v>
      </c>
      <c r="P164" t="b">
        <f t="shared" si="24"/>
        <v>0</v>
      </c>
      <c r="Q164" t="b">
        <f t="shared" si="25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18"/>
        <v>NORTHERN_EUROPE_NO_REGION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0</v>
      </c>
      <c r="M165" t="b">
        <f t="shared" si="22"/>
        <v>0</v>
      </c>
      <c r="N165" t="b">
        <f t="shared" si="22"/>
        <v>1</v>
      </c>
      <c r="O165" t="b">
        <f t="shared" si="23"/>
        <v>0</v>
      </c>
      <c r="P165" t="b">
        <f t="shared" si="24"/>
        <v>0</v>
      </c>
      <c r="Q165" t="b">
        <f t="shared" si="25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18"/>
        <v>NORTH_AMERICA_NO_REGION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0</v>
      </c>
      <c r="N166" t="b">
        <f t="shared" si="22"/>
        <v>0</v>
      </c>
      <c r="O166" t="b">
        <f t="shared" si="23"/>
        <v>1</v>
      </c>
      <c r="P166" t="b">
        <f t="shared" si="24"/>
        <v>0</v>
      </c>
      <c r="Q166" t="b">
        <f t="shared" si="25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18"/>
        <v>SOUTH_AMERICA_NO_REGION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2"/>
        <v>0</v>
      </c>
      <c r="O167" t="b">
        <f t="shared" si="23"/>
        <v>0</v>
      </c>
      <c r="P167" t="b">
        <f t="shared" si="24"/>
        <v>1</v>
      </c>
      <c r="Q167" t="b">
        <f t="shared" si="25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18"/>
        <v>OCEANIA_NO_REGION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2"/>
        <v>0</v>
      </c>
      <c r="O168" t="b">
        <f t="shared" si="23"/>
        <v>0</v>
      </c>
      <c r="P168" t="b">
        <f t="shared" si="24"/>
        <v>0</v>
      </c>
      <c r="Q168" t="b">
        <f t="shared" si="25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18"/>
        <v>WESTERN_EUROPE_NO_REGION</v>
      </c>
      <c r="I169" t="b">
        <f t="shared" si="19"/>
        <v>0</v>
      </c>
      <c r="J169" t="b">
        <f t="shared" si="26"/>
        <v>0</v>
      </c>
      <c r="K169" t="b">
        <f t="shared" si="20"/>
        <v>0</v>
      </c>
      <c r="L169" t="b">
        <f t="shared" si="21"/>
        <v>0</v>
      </c>
      <c r="M169" t="b">
        <f t="shared" si="22"/>
        <v>1</v>
      </c>
      <c r="N169" t="b">
        <f t="shared" si="22"/>
        <v>0</v>
      </c>
      <c r="O169" t="b">
        <f t="shared" si="23"/>
        <v>0</v>
      </c>
      <c r="P169" t="b">
        <f t="shared" si="24"/>
        <v>0</v>
      </c>
      <c r="Q169" t="b">
        <f t="shared" si="25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18"/>
        <v>SOUTH_AMERICA_NO_REGION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2"/>
        <v>0</v>
      </c>
      <c r="O170" t="b">
        <f t="shared" si="23"/>
        <v>0</v>
      </c>
      <c r="P170" t="b">
        <f t="shared" si="24"/>
        <v>1</v>
      </c>
      <c r="Q170" t="b">
        <f t="shared" si="25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18"/>
        <v>ASIA_NO_REGION</v>
      </c>
      <c r="I171" t="b">
        <f t="shared" si="19"/>
        <v>0</v>
      </c>
      <c r="J171" t="b">
        <f t="shared" si="26"/>
        <v>1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2"/>
        <v>0</v>
      </c>
      <c r="O171" t="b">
        <f t="shared" si="23"/>
        <v>0</v>
      </c>
      <c r="P171" t="b">
        <f t="shared" si="24"/>
        <v>0</v>
      </c>
      <c r="Q171" t="b">
        <f t="shared" si="25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18"/>
        <v>WESTERN_EUROPE_NO_REGION</v>
      </c>
      <c r="I172" t="b">
        <f t="shared" si="19"/>
        <v>0</v>
      </c>
      <c r="J172" t="b">
        <f t="shared" si="26"/>
        <v>0</v>
      </c>
      <c r="K172" t="b">
        <f t="shared" si="20"/>
        <v>0</v>
      </c>
      <c r="L172" t="b">
        <f t="shared" si="21"/>
        <v>0</v>
      </c>
      <c r="M172" t="b">
        <f t="shared" si="22"/>
        <v>1</v>
      </c>
      <c r="N172" t="b">
        <f t="shared" si="22"/>
        <v>0</v>
      </c>
      <c r="O172" t="b">
        <f t="shared" si="23"/>
        <v>0</v>
      </c>
      <c r="P172" t="b">
        <f t="shared" si="24"/>
        <v>0</v>
      </c>
      <c r="Q172" t="b">
        <f t="shared" si="25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18"/>
        <v>NORTH_AMERICA_NO_REGION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0</v>
      </c>
      <c r="N173" t="b">
        <f t="shared" si="22"/>
        <v>0</v>
      </c>
      <c r="O173" t="b">
        <f t="shared" si="23"/>
        <v>1</v>
      </c>
      <c r="P173" t="b">
        <f t="shared" si="24"/>
        <v>0</v>
      </c>
      <c r="Q173" t="b">
        <f t="shared" si="25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18"/>
        <v>WESTERN_EUROPE_NO_REGION</v>
      </c>
      <c r="I174" t="b">
        <f t="shared" si="19"/>
        <v>0</v>
      </c>
      <c r="J174" t="b">
        <f t="shared" si="26"/>
        <v>0</v>
      </c>
      <c r="K174" t="b">
        <f t="shared" si="20"/>
        <v>0</v>
      </c>
      <c r="L174" t="b">
        <f t="shared" si="21"/>
        <v>0</v>
      </c>
      <c r="M174" t="b">
        <f t="shared" si="22"/>
        <v>1</v>
      </c>
      <c r="N174" t="b">
        <f t="shared" si="22"/>
        <v>0</v>
      </c>
      <c r="O174" t="b">
        <f t="shared" si="23"/>
        <v>0</v>
      </c>
      <c r="P174" t="b">
        <f t="shared" si="24"/>
        <v>0</v>
      </c>
      <c r="Q174" t="b">
        <f t="shared" si="25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18"/>
        <v>WESTERN_EUROPE_EASTERN_EUROPE</v>
      </c>
      <c r="I175" t="b">
        <f t="shared" si="19"/>
        <v>0</v>
      </c>
      <c r="J175" t="b">
        <f t="shared" si="26"/>
        <v>0</v>
      </c>
      <c r="K175" t="b">
        <f t="shared" si="20"/>
        <v>0</v>
      </c>
      <c r="L175" t="b">
        <f t="shared" si="21"/>
        <v>1</v>
      </c>
      <c r="M175" t="b">
        <f t="shared" si="22"/>
        <v>1</v>
      </c>
      <c r="N175" t="b">
        <f t="shared" si="22"/>
        <v>0</v>
      </c>
      <c r="O175" t="b">
        <f t="shared" si="23"/>
        <v>0</v>
      </c>
      <c r="P175" t="b">
        <f t="shared" si="24"/>
        <v>0</v>
      </c>
      <c r="Q175" t="b">
        <f t="shared" si="25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18"/>
        <v>WESTERN_EUROPE_NO_REGION</v>
      </c>
      <c r="I176" t="b">
        <f t="shared" si="19"/>
        <v>0</v>
      </c>
      <c r="J176" t="b">
        <f t="shared" si="26"/>
        <v>0</v>
      </c>
      <c r="K176" t="b">
        <f t="shared" si="20"/>
        <v>0</v>
      </c>
      <c r="L176" t="b">
        <f t="shared" si="21"/>
        <v>0</v>
      </c>
      <c r="M176" t="b">
        <f t="shared" si="22"/>
        <v>1</v>
      </c>
      <c r="N176" t="b">
        <f t="shared" si="22"/>
        <v>0</v>
      </c>
      <c r="O176" t="b">
        <f t="shared" si="23"/>
        <v>0</v>
      </c>
      <c r="P176" t="b">
        <f t="shared" si="24"/>
        <v>0</v>
      </c>
      <c r="Q176" t="b">
        <f t="shared" si="25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18"/>
        <v>OCEANIA_NO_REGION</v>
      </c>
      <c r="I177" t="b">
        <f t="shared" si="19"/>
        <v>0</v>
      </c>
      <c r="J177" t="b">
        <f t="shared" si="26"/>
        <v>0</v>
      </c>
      <c r="K177" t="b">
        <f t="shared" si="20"/>
        <v>0</v>
      </c>
      <c r="L177" t="b">
        <f t="shared" si="21"/>
        <v>0</v>
      </c>
      <c r="M177" t="b">
        <f t="shared" si="22"/>
        <v>0</v>
      </c>
      <c r="N177" t="b">
        <f t="shared" si="22"/>
        <v>0</v>
      </c>
      <c r="O177" t="b">
        <f t="shared" si="23"/>
        <v>0</v>
      </c>
      <c r="P177" t="b">
        <f t="shared" si="24"/>
        <v>0</v>
      </c>
      <c r="Q177" t="b">
        <f t="shared" si="25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18"/>
        <v>NORTH_AMERICA_NO_REGION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0</v>
      </c>
      <c r="N178" t="b">
        <f t="shared" si="22"/>
        <v>0</v>
      </c>
      <c r="O178" t="b">
        <f t="shared" si="23"/>
        <v>1</v>
      </c>
      <c r="P178" t="b">
        <f t="shared" si="24"/>
        <v>0</v>
      </c>
      <c r="Q178" t="b">
        <f t="shared" si="25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18"/>
        <v>NORTH_AMERICA_NO_REGION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0</v>
      </c>
      <c r="N179" t="b">
        <f t="shared" si="22"/>
        <v>0</v>
      </c>
      <c r="O179" t="b">
        <f t="shared" si="23"/>
        <v>1</v>
      </c>
      <c r="P179" t="b">
        <f t="shared" si="24"/>
        <v>0</v>
      </c>
      <c r="Q179" t="b">
        <f t="shared" si="25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18"/>
        <v>NORTH_AMERICA_NO_REGION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0</v>
      </c>
      <c r="N180" t="b">
        <f t="shared" si="22"/>
        <v>0</v>
      </c>
      <c r="O180" t="b">
        <f t="shared" si="23"/>
        <v>1</v>
      </c>
      <c r="P180" t="b">
        <f t="shared" si="24"/>
        <v>0</v>
      </c>
      <c r="Q180" t="b">
        <f t="shared" si="25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18"/>
        <v>ALL_AMERICA_SOUTHERN_EUROPE</v>
      </c>
      <c r="I181" t="b">
        <f t="shared" si="19"/>
        <v>0</v>
      </c>
      <c r="J181" t="b">
        <f t="shared" si="26"/>
        <v>0</v>
      </c>
      <c r="K181" t="b">
        <f t="shared" si="20"/>
        <v>1</v>
      </c>
      <c r="L181" t="b">
        <f t="shared" si="21"/>
        <v>0</v>
      </c>
      <c r="M181" t="b">
        <f t="shared" si="22"/>
        <v>0</v>
      </c>
      <c r="N181" t="b">
        <f t="shared" si="22"/>
        <v>0</v>
      </c>
      <c r="O181" t="b">
        <f t="shared" si="23"/>
        <v>1</v>
      </c>
      <c r="P181" t="b">
        <f t="shared" si="24"/>
        <v>1</v>
      </c>
      <c r="Q181" t="b">
        <f t="shared" si="25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18"/>
        <v>WESTERN_EUROPE_NO_REGION</v>
      </c>
      <c r="I182" t="b">
        <f t="shared" si="19"/>
        <v>0</v>
      </c>
      <c r="J182" t="b">
        <f t="shared" si="26"/>
        <v>0</v>
      </c>
      <c r="K182" t="b">
        <f t="shared" si="20"/>
        <v>0</v>
      </c>
      <c r="L182" t="b">
        <f t="shared" si="21"/>
        <v>0</v>
      </c>
      <c r="M182" t="b">
        <f t="shared" si="22"/>
        <v>1</v>
      </c>
      <c r="N182" t="b">
        <f t="shared" si="22"/>
        <v>0</v>
      </c>
      <c r="O182" t="b">
        <f t="shared" si="23"/>
        <v>0</v>
      </c>
      <c r="P182" t="b">
        <f t="shared" si="24"/>
        <v>0</v>
      </c>
      <c r="Q182" t="b">
        <f t="shared" si="25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18"/>
        <v>NORTH_AMERICA_NO_REGION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0</v>
      </c>
      <c r="N183" t="b">
        <f t="shared" si="22"/>
        <v>0</v>
      </c>
      <c r="O183" t="b">
        <f t="shared" si="23"/>
        <v>1</v>
      </c>
      <c r="P183" t="b">
        <f t="shared" si="24"/>
        <v>0</v>
      </c>
      <c r="Q183" t="b">
        <f t="shared" si="25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18"/>
        <v>SOUTH_AMERICA_NO_REGION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2"/>
        <v>0</v>
      </c>
      <c r="O184" t="b">
        <f t="shared" si="23"/>
        <v>0</v>
      </c>
      <c r="P184" t="b">
        <f t="shared" si="24"/>
        <v>1</v>
      </c>
      <c r="Q184" t="b">
        <f t="shared" si="25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18"/>
        <v>NORTH_AMERICA_NO_REGION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0</v>
      </c>
      <c r="N185" t="b">
        <f t="shared" si="22"/>
        <v>0</v>
      </c>
      <c r="O185" t="b">
        <f t="shared" si="23"/>
        <v>1</v>
      </c>
      <c r="P185" t="b">
        <f t="shared" si="24"/>
        <v>0</v>
      </c>
      <c r="Q185" t="b">
        <f t="shared" si="25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18"/>
        <v>AFRICA_NORTHERN_EUROPE</v>
      </c>
      <c r="I186" t="b">
        <f t="shared" si="19"/>
        <v>1</v>
      </c>
      <c r="J186" t="b">
        <f t="shared" si="26"/>
        <v>0</v>
      </c>
      <c r="K186" t="b">
        <f t="shared" si="20"/>
        <v>0</v>
      </c>
      <c r="L186" t="b">
        <f t="shared" si="21"/>
        <v>0</v>
      </c>
      <c r="M186" t="b">
        <f t="shared" si="22"/>
        <v>0</v>
      </c>
      <c r="N186" t="b">
        <f t="shared" si="22"/>
        <v>1</v>
      </c>
      <c r="O186" t="b">
        <f t="shared" si="23"/>
        <v>0</v>
      </c>
      <c r="P186" t="b">
        <f t="shared" si="24"/>
        <v>0</v>
      </c>
      <c r="Q186" t="b">
        <f t="shared" si="25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18"/>
        <v>WESTERN_EUROPE_NO_REGION</v>
      </c>
      <c r="I187" t="b">
        <f t="shared" si="19"/>
        <v>0</v>
      </c>
      <c r="J187" t="b">
        <f t="shared" si="26"/>
        <v>0</v>
      </c>
      <c r="K187" t="b">
        <f t="shared" si="20"/>
        <v>0</v>
      </c>
      <c r="L187" t="b">
        <f t="shared" si="21"/>
        <v>0</v>
      </c>
      <c r="M187" t="b">
        <f t="shared" si="22"/>
        <v>1</v>
      </c>
      <c r="N187" t="b">
        <f t="shared" si="22"/>
        <v>0</v>
      </c>
      <c r="O187" t="b">
        <f t="shared" si="23"/>
        <v>0</v>
      </c>
      <c r="P187" t="b">
        <f t="shared" si="24"/>
        <v>0</v>
      </c>
      <c r="Q187" t="b">
        <f t="shared" si="25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18"/>
        <v>NORTH_AMERICA_NO_REGION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0</v>
      </c>
      <c r="N188" t="b">
        <f t="shared" si="22"/>
        <v>0</v>
      </c>
      <c r="O188" t="b">
        <f t="shared" si="23"/>
        <v>1</v>
      </c>
      <c r="P188" t="b">
        <f t="shared" si="24"/>
        <v>0</v>
      </c>
      <c r="Q188" t="b">
        <f t="shared" si="25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18"/>
        <v>NORTH_AMERICA_ASIA</v>
      </c>
      <c r="I189" t="b">
        <f t="shared" si="19"/>
        <v>0</v>
      </c>
      <c r="J189" t="b">
        <f t="shared" si="26"/>
        <v>1</v>
      </c>
      <c r="K189" t="b">
        <f t="shared" si="20"/>
        <v>0</v>
      </c>
      <c r="L189" t="b">
        <f t="shared" si="21"/>
        <v>0</v>
      </c>
      <c r="M189" t="b">
        <f t="shared" si="22"/>
        <v>0</v>
      </c>
      <c r="N189" t="b">
        <f t="shared" si="22"/>
        <v>0</v>
      </c>
      <c r="O189" t="b">
        <f t="shared" si="23"/>
        <v>1</v>
      </c>
      <c r="P189" t="b">
        <f t="shared" si="24"/>
        <v>0</v>
      </c>
      <c r="Q189" t="b">
        <f t="shared" si="25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18"/>
        <v>EASTERN_EUROPE_NO_REGION</v>
      </c>
      <c r="I190" t="b">
        <f t="shared" si="19"/>
        <v>0</v>
      </c>
      <c r="J190" t="b">
        <f t="shared" si="26"/>
        <v>0</v>
      </c>
      <c r="K190" t="b">
        <f t="shared" si="20"/>
        <v>0</v>
      </c>
      <c r="L190" t="b">
        <f t="shared" si="21"/>
        <v>1</v>
      </c>
      <c r="M190" t="b">
        <f t="shared" si="22"/>
        <v>0</v>
      </c>
      <c r="N190" t="b">
        <f t="shared" si="22"/>
        <v>0</v>
      </c>
      <c r="O190" t="b">
        <f t="shared" si="23"/>
        <v>0</v>
      </c>
      <c r="P190" t="b">
        <f t="shared" si="24"/>
        <v>0</v>
      </c>
      <c r="Q190" t="b">
        <f t="shared" si="25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18"/>
        <v>EASTERN_EUROPE_NO_REGION</v>
      </c>
      <c r="I191" t="b">
        <f t="shared" si="19"/>
        <v>0</v>
      </c>
      <c r="J191" t="b">
        <f t="shared" si="26"/>
        <v>0</v>
      </c>
      <c r="K191" t="b">
        <f t="shared" si="20"/>
        <v>0</v>
      </c>
      <c r="L191" t="b">
        <f t="shared" si="21"/>
        <v>1</v>
      </c>
      <c r="M191" t="b">
        <f t="shared" si="22"/>
        <v>0</v>
      </c>
      <c r="N191" t="b">
        <f t="shared" si="22"/>
        <v>0</v>
      </c>
      <c r="O191" t="b">
        <f t="shared" si="23"/>
        <v>0</v>
      </c>
      <c r="P191" t="b">
        <f t="shared" si="24"/>
        <v>0</v>
      </c>
      <c r="Q191" t="b">
        <f t="shared" si="25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18"/>
        <v>WESTERN_EUROPE_NO_REGION</v>
      </c>
      <c r="I192" t="b">
        <f t="shared" si="19"/>
        <v>0</v>
      </c>
      <c r="J192" t="b">
        <f t="shared" si="26"/>
        <v>0</v>
      </c>
      <c r="K192" t="b">
        <f t="shared" si="20"/>
        <v>0</v>
      </c>
      <c r="L192" t="b">
        <f t="shared" si="21"/>
        <v>0</v>
      </c>
      <c r="M192" t="b">
        <f t="shared" si="22"/>
        <v>1</v>
      </c>
      <c r="N192" t="b">
        <f t="shared" si="22"/>
        <v>0</v>
      </c>
      <c r="O192" t="b">
        <f t="shared" si="23"/>
        <v>0</v>
      </c>
      <c r="P192" t="b">
        <f t="shared" si="24"/>
        <v>0</v>
      </c>
      <c r="Q192" t="b">
        <f t="shared" si="25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18"/>
        <v>WESTERN_EUROPE_SOUTHERN_EUROPE</v>
      </c>
      <c r="I193" t="b">
        <f t="shared" si="19"/>
        <v>0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1</v>
      </c>
      <c r="N193" t="b">
        <f t="shared" si="22"/>
        <v>0</v>
      </c>
      <c r="O193" t="b">
        <f t="shared" si="23"/>
        <v>0</v>
      </c>
      <c r="P193" t="b">
        <f t="shared" si="24"/>
        <v>0</v>
      </c>
      <c r="Q193" t="b">
        <f t="shared" si="25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18"/>
        <v>NORTH_AMERICA_NO_REGION</v>
      </c>
      <c r="I194" t="b">
        <f t="shared" si="19"/>
        <v>0</v>
      </c>
      <c r="J194" t="b">
        <f t="shared" si="26"/>
        <v>0</v>
      </c>
      <c r="K194" t="b">
        <f t="shared" si="20"/>
        <v>0</v>
      </c>
      <c r="L194" t="b">
        <f t="shared" si="21"/>
        <v>0</v>
      </c>
      <c r="M194" t="b">
        <f t="shared" si="22"/>
        <v>0</v>
      </c>
      <c r="N194" t="b">
        <f t="shared" si="22"/>
        <v>0</v>
      </c>
      <c r="O194" t="b">
        <f t="shared" si="23"/>
        <v>1</v>
      </c>
      <c r="P194" t="b">
        <f t="shared" si="24"/>
        <v>0</v>
      </c>
      <c r="Q194" t="b">
        <f t="shared" si="25"/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REGIONTYPE4</v>
      </c>
      <c r="G195" s="31" t="str">
        <f>_xlfn.XLOOKUP($A195,PROPERTIES[VEHIDCODE],PROPERTIES[REGION2])</f>
        <v>NO_REGION</v>
      </c>
      <c r="H195" s="31" t="str">
        <f t="shared" ref="H195:H258" si="27">_xlfn.CONCAT($F195,"_",$G195)</f>
        <v>REGIONTYPE4_NO_REGION</v>
      </c>
      <c r="I195" t="b">
        <f t="shared" ref="I195:I258" si="28">OR(ISNUMBER(SEARCH("ALL_REGION",$H195)),
ISNUMBER(SEARCH("AFRICA",$H195)),
ISNUMBER(SEARCH("REGIONTYPE1",$H195)),
ISNUMBER(SEARCH("REGIONTYPE2",$H195)))</f>
        <v>0</v>
      </c>
      <c r="J195" t="b">
        <f t="shared" si="26"/>
        <v>1</v>
      </c>
      <c r="K195" t="b">
        <f t="shared" ref="K195:K258" si="29">OR(ISNUMBER(SEARCH("ALL_REGION",$H195)),
ISNUMBER(SEARCH("ALL_EUROPE",$H195)),
ISNUMBER(SEARCH(K$1,$H195)),
ISNUMBER(SEARCH("REGIONTYPE1",$H195)))</f>
        <v>0</v>
      </c>
      <c r="L195" t="b">
        <f t="shared" ref="L195:L258" si="30">OR(ISNUMBER(SEARCH("ALL_REGION",$H195)),
ISNUMBER(SEARCH("ALL_EUROPE",$H195)),
ISNUMBER(SEARCH(L$1,$H195)),
ISNUMBER(SEARCH("REGIONTYPE1",$H195)),
ISNUMBER(SEARCH("REGIONTYPE4",$H195)),
ISNUMBER(SEARCH("REGIONTYPE5",$H195)))</f>
        <v>1</v>
      </c>
      <c r="M195" t="b">
        <f t="shared" ref="M195:N258" si="31">OR(ISNUMBER(SEARCH("ALL_REGION",$H195)),
ISNUMBER(SEARCH("ALL_EUROPE",$H195)),
ISNUMBER(SEARCH(M$1,$H195)),
ISNUMBER(SEARCH("REGIONTYPE1",$H195)),
ISNUMBER(SEARCH("REGIONTYPE6",$H195)))</f>
        <v>0</v>
      </c>
      <c r="N195" t="b">
        <f t="shared" si="31"/>
        <v>0</v>
      </c>
      <c r="O195" t="b">
        <f t="shared" ref="O195:O258" si="32">OR(ISNUMBER(SEARCH("ALL_REGION",$H195)),
ISNUMBER(SEARCH("ALL_AMERICA",$H195)),
ISNUMBER(SEARCH(O$1,$H195)),
ISNUMBER(SEARCH("REGIONTYPE2",$H195)))</f>
        <v>0</v>
      </c>
      <c r="P195" t="b">
        <f t="shared" ref="P195:P258" si="33">OR(ISNUMBER(SEARCH("ALL_REGION",$H195)),
ISNUMBER(SEARCH("ALL_AMERICA",$H195)),
ISNUMBER(SEARCH(P$1,$H195)),
ISNUMBER(SEARCH("REGIONTYPE2",$H195)),
ISNUMBER(SEARCH("REGIONTYPE5",$H195)))</f>
        <v>0</v>
      </c>
      <c r="Q195" t="b">
        <f t="shared" ref="Q195:Q258" si="34">OR(ISNUMBER(SEARCH("ALL_REGION",$H195)),
ISNUMBER(SEARCH(Q$1,$H195)),
ISNUMBER(SEARCH("REGIONTYPE3",$H195)))</f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27"/>
        <v>NORTHERN_EUROPE_NO_REGION</v>
      </c>
      <c r="I196" t="b">
        <f t="shared" si="28"/>
        <v>0</v>
      </c>
      <c r="J196" t="b">
        <f t="shared" ref="J196:J259" si="35">OR(ISNUMBER(SEARCH("ALL_REGION",$H196)),
ISNUMBER(SEARCH("ASIA",$H196)),
ISNUMBER(SEARCH("REGIONTYPE1",$H196)),
ISNUMBER(SEARCH("REGIONTYPE2",$H196)),
ISNUMBER(SEARCH("REGIONTYPE3",$H196)),
ISNUMBER(SEARCH("REGIONTYPE4",$H196)))</f>
        <v>0</v>
      </c>
      <c r="K196" t="b">
        <f t="shared" si="29"/>
        <v>0</v>
      </c>
      <c r="L196" t="b">
        <f t="shared" si="30"/>
        <v>0</v>
      </c>
      <c r="M196" t="b">
        <f t="shared" si="31"/>
        <v>0</v>
      </c>
      <c r="N196" t="b">
        <f t="shared" si="31"/>
        <v>1</v>
      </c>
      <c r="O196" t="b">
        <f t="shared" si="32"/>
        <v>0</v>
      </c>
      <c r="P196" t="b">
        <f t="shared" si="33"/>
        <v>0</v>
      </c>
      <c r="Q196" t="b">
        <f t="shared" si="34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REGIONTYPE4</v>
      </c>
      <c r="G197" s="31" t="str">
        <f>_xlfn.XLOOKUP($A197,PROPERTIES[VEHIDCODE],PROPERTIES[REGION2])</f>
        <v>NO_REGION</v>
      </c>
      <c r="H197" s="31" t="str">
        <f t="shared" si="27"/>
        <v>REGIONTYPE4_NO_REGION</v>
      </c>
      <c r="I197" t="b">
        <f t="shared" si="28"/>
        <v>0</v>
      </c>
      <c r="J197" t="b">
        <f t="shared" si="35"/>
        <v>1</v>
      </c>
      <c r="K197" t="b">
        <f t="shared" si="29"/>
        <v>0</v>
      </c>
      <c r="L197" t="b">
        <f t="shared" si="30"/>
        <v>1</v>
      </c>
      <c r="M197" t="b">
        <f t="shared" si="31"/>
        <v>0</v>
      </c>
      <c r="N197" t="b">
        <f t="shared" si="31"/>
        <v>0</v>
      </c>
      <c r="O197" t="b">
        <f t="shared" si="32"/>
        <v>0</v>
      </c>
      <c r="P197" t="b">
        <f t="shared" si="33"/>
        <v>0</v>
      </c>
      <c r="Q197" t="b">
        <f t="shared" si="34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27"/>
        <v>SOUTH_AMERICA_NO_REGION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0</v>
      </c>
      <c r="M198" t="b">
        <f t="shared" si="31"/>
        <v>0</v>
      </c>
      <c r="N198" t="b">
        <f t="shared" si="31"/>
        <v>0</v>
      </c>
      <c r="O198" t="b">
        <f t="shared" si="32"/>
        <v>0</v>
      </c>
      <c r="P198" t="b">
        <f t="shared" si="33"/>
        <v>1</v>
      </c>
      <c r="Q198" t="b">
        <f t="shared" si="34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SOUTH_AMERICA</v>
      </c>
      <c r="G199" s="31" t="str">
        <f>_xlfn.XLOOKUP($A199,PROPERTIES[VEHIDCODE],PROPERTIES[REGION2])</f>
        <v>NO_REGION</v>
      </c>
      <c r="H199" s="31" t="str">
        <f t="shared" si="27"/>
        <v>SOUTH_AMERICA_NO_REGION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0</v>
      </c>
      <c r="N199" t="b">
        <f t="shared" si="31"/>
        <v>0</v>
      </c>
      <c r="O199" t="b">
        <f t="shared" si="32"/>
        <v>0</v>
      </c>
      <c r="P199" t="b">
        <f t="shared" si="33"/>
        <v>1</v>
      </c>
      <c r="Q199" t="b">
        <f t="shared" si="34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REGIONTYPE4</v>
      </c>
      <c r="G200" s="31" t="str">
        <f>_xlfn.XLOOKUP($A200,PROPERTIES[VEHIDCODE],PROPERTIES[REGION2])</f>
        <v>NO_REGION</v>
      </c>
      <c r="H200" s="31" t="str">
        <f t="shared" si="27"/>
        <v>REGIONTYPE4_NO_REGION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1"/>
        <v>0</v>
      </c>
      <c r="O200" t="b">
        <f t="shared" si="32"/>
        <v>0</v>
      </c>
      <c r="P200" t="b">
        <f t="shared" si="33"/>
        <v>0</v>
      </c>
      <c r="Q200" t="b">
        <f t="shared" si="34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27"/>
        <v>WESTERN_EUROPE_NO_REGION</v>
      </c>
      <c r="I201" t="b">
        <f t="shared" si="28"/>
        <v>0</v>
      </c>
      <c r="J201" t="b">
        <f t="shared" si="35"/>
        <v>0</v>
      </c>
      <c r="K201" t="b">
        <f t="shared" si="29"/>
        <v>0</v>
      </c>
      <c r="L201" t="b">
        <f t="shared" si="30"/>
        <v>0</v>
      </c>
      <c r="M201" t="b">
        <f t="shared" si="31"/>
        <v>1</v>
      </c>
      <c r="N201" t="b">
        <f t="shared" si="31"/>
        <v>0</v>
      </c>
      <c r="O201" t="b">
        <f t="shared" si="32"/>
        <v>0</v>
      </c>
      <c r="P201" t="b">
        <f t="shared" si="33"/>
        <v>0</v>
      </c>
      <c r="Q201" t="b">
        <f t="shared" si="34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27"/>
        <v>NORTHERN_EUROPE_NO_REGION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0</v>
      </c>
      <c r="M202" t="b">
        <f t="shared" si="31"/>
        <v>0</v>
      </c>
      <c r="N202" t="b">
        <f t="shared" si="31"/>
        <v>1</v>
      </c>
      <c r="O202" t="b">
        <f t="shared" si="32"/>
        <v>0</v>
      </c>
      <c r="P202" t="b">
        <f t="shared" si="33"/>
        <v>0</v>
      </c>
      <c r="Q202" t="b">
        <f t="shared" si="34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27"/>
        <v>ASIA_NO_REGION</v>
      </c>
      <c r="I203" t="b">
        <f t="shared" si="28"/>
        <v>0</v>
      </c>
      <c r="J203" t="b">
        <f t="shared" si="35"/>
        <v>1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1"/>
        <v>0</v>
      </c>
      <c r="O203" t="b">
        <f t="shared" si="32"/>
        <v>0</v>
      </c>
      <c r="P203" t="b">
        <f t="shared" si="33"/>
        <v>0</v>
      </c>
      <c r="Q203" t="b">
        <f t="shared" si="34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27"/>
        <v>NORTHERN_EUROPE_NO_REGION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0</v>
      </c>
      <c r="M204" t="b">
        <f t="shared" si="31"/>
        <v>0</v>
      </c>
      <c r="N204" t="b">
        <f t="shared" si="31"/>
        <v>1</v>
      </c>
      <c r="O204" t="b">
        <f t="shared" si="32"/>
        <v>0</v>
      </c>
      <c r="P204" t="b">
        <f t="shared" si="33"/>
        <v>0</v>
      </c>
      <c r="Q204" t="b">
        <f t="shared" si="34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REGIONTYPE4</v>
      </c>
      <c r="G205" s="31" t="str">
        <f>_xlfn.XLOOKUP($A205,PROPERTIES[VEHIDCODE],PROPERTIES[REGION2])</f>
        <v>NO_REGION</v>
      </c>
      <c r="H205" s="31" t="str">
        <f t="shared" si="27"/>
        <v>REGIONTYPE4_NO_REGION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1"/>
        <v>0</v>
      </c>
      <c r="O205" t="b">
        <f t="shared" si="32"/>
        <v>0</v>
      </c>
      <c r="P205" t="b">
        <f t="shared" si="33"/>
        <v>0</v>
      </c>
      <c r="Q205" t="b">
        <f t="shared" si="34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27"/>
        <v>SOUTH_AMERICA_NO_REGION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1"/>
        <v>0</v>
      </c>
      <c r="O206" t="b">
        <f t="shared" si="32"/>
        <v>0</v>
      </c>
      <c r="P206" t="b">
        <f t="shared" si="33"/>
        <v>1</v>
      </c>
      <c r="Q206" t="b">
        <f t="shared" si="34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REGIONTYPE4</v>
      </c>
      <c r="G207" s="31" t="str">
        <f>_xlfn.XLOOKUP($A207,PROPERTIES[VEHIDCODE],PROPERTIES[REGION2])</f>
        <v>NO_REGION</v>
      </c>
      <c r="H207" s="31" t="str">
        <f t="shared" si="27"/>
        <v>REGIONTYPE4_NO_REGION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1"/>
        <v>0</v>
      </c>
      <c r="O207" t="b">
        <f t="shared" si="32"/>
        <v>0</v>
      </c>
      <c r="P207" t="b">
        <f t="shared" si="33"/>
        <v>0</v>
      </c>
      <c r="Q207" t="b">
        <f t="shared" si="34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27"/>
        <v>OCEANIA_NO_REGION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1"/>
        <v>0</v>
      </c>
      <c r="O208" t="b">
        <f t="shared" si="32"/>
        <v>0</v>
      </c>
      <c r="P208" t="b">
        <f t="shared" si="33"/>
        <v>0</v>
      </c>
      <c r="Q208" t="b">
        <f t="shared" si="34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27"/>
        <v>AFRICA_NO_REGION</v>
      </c>
      <c r="I209" t="b">
        <f t="shared" si="28"/>
        <v>1</v>
      </c>
      <c r="J209" t="b">
        <f t="shared" si="35"/>
        <v>0</v>
      </c>
      <c r="K209" t="b">
        <f t="shared" si="29"/>
        <v>0</v>
      </c>
      <c r="L209" t="b">
        <f t="shared" si="30"/>
        <v>0</v>
      </c>
      <c r="M209" t="b">
        <f t="shared" si="31"/>
        <v>0</v>
      </c>
      <c r="N209" t="b">
        <f t="shared" si="31"/>
        <v>0</v>
      </c>
      <c r="O209" t="b">
        <f t="shared" si="32"/>
        <v>0</v>
      </c>
      <c r="P209" t="b">
        <f t="shared" si="33"/>
        <v>0</v>
      </c>
      <c r="Q209" t="b">
        <f t="shared" si="34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27"/>
        <v>NORTH_AMERICA_NO_REGION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0</v>
      </c>
      <c r="N210" t="b">
        <f t="shared" si="31"/>
        <v>0</v>
      </c>
      <c r="O210" t="b">
        <f t="shared" si="32"/>
        <v>1</v>
      </c>
      <c r="P210" t="b">
        <f t="shared" si="33"/>
        <v>0</v>
      </c>
      <c r="Q210" t="b">
        <f t="shared" si="34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27"/>
        <v>OCEANIA_NO_REGION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1"/>
        <v>0</v>
      </c>
      <c r="O211" t="b">
        <f t="shared" si="32"/>
        <v>0</v>
      </c>
      <c r="P211" t="b">
        <f t="shared" si="33"/>
        <v>0</v>
      </c>
      <c r="Q211" t="b">
        <f t="shared" si="34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27"/>
        <v>EASTERN_EUROPE_AFRICA</v>
      </c>
      <c r="I212" t="b">
        <f t="shared" si="28"/>
        <v>1</v>
      </c>
      <c r="J212" t="b">
        <f t="shared" si="35"/>
        <v>0</v>
      </c>
      <c r="K212" t="b">
        <f t="shared" si="29"/>
        <v>0</v>
      </c>
      <c r="L212" t="b">
        <f t="shared" si="30"/>
        <v>1</v>
      </c>
      <c r="M212" t="b">
        <f t="shared" si="31"/>
        <v>0</v>
      </c>
      <c r="N212" t="b">
        <f t="shared" si="31"/>
        <v>0</v>
      </c>
      <c r="O212" t="b">
        <f t="shared" si="32"/>
        <v>0</v>
      </c>
      <c r="P212" t="b">
        <f t="shared" si="33"/>
        <v>0</v>
      </c>
      <c r="Q212" t="b">
        <f t="shared" si="34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27"/>
        <v>NORTHERN_EUROPE_NO_REGION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0</v>
      </c>
      <c r="M213" t="b">
        <f t="shared" si="31"/>
        <v>0</v>
      </c>
      <c r="N213" t="b">
        <f t="shared" si="31"/>
        <v>1</v>
      </c>
      <c r="O213" t="b">
        <f t="shared" si="32"/>
        <v>0</v>
      </c>
      <c r="P213" t="b">
        <f t="shared" si="33"/>
        <v>0</v>
      </c>
      <c r="Q213" t="b">
        <f t="shared" si="34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27"/>
        <v>NORTH_AMERICA_NO_REGION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0</v>
      </c>
      <c r="N214" t="b">
        <f t="shared" si="31"/>
        <v>0</v>
      </c>
      <c r="O214" t="b">
        <f t="shared" si="32"/>
        <v>1</v>
      </c>
      <c r="P214" t="b">
        <f t="shared" si="33"/>
        <v>0</v>
      </c>
      <c r="Q214" t="b">
        <f t="shared" si="34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27"/>
        <v>NORTH_AMERICA_NO_REGION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0</v>
      </c>
      <c r="N215" t="b">
        <f t="shared" si="31"/>
        <v>0</v>
      </c>
      <c r="O215" t="b">
        <f t="shared" si="32"/>
        <v>1</v>
      </c>
      <c r="P215" t="b">
        <f t="shared" si="33"/>
        <v>0</v>
      </c>
      <c r="Q215" t="b">
        <f t="shared" si="34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27"/>
        <v>ASIA_NO_REGION</v>
      </c>
      <c r="I216" t="b">
        <f t="shared" si="28"/>
        <v>0</v>
      </c>
      <c r="J216" t="b">
        <f t="shared" si="35"/>
        <v>1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1"/>
        <v>0</v>
      </c>
      <c r="O216" t="b">
        <f t="shared" si="32"/>
        <v>0</v>
      </c>
      <c r="P216" t="b">
        <f t="shared" si="33"/>
        <v>0</v>
      </c>
      <c r="Q216" t="b">
        <f t="shared" si="34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27"/>
        <v>NORTH_AMERICA_NO_REGION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0</v>
      </c>
      <c r="N217" t="b">
        <f t="shared" si="31"/>
        <v>0</v>
      </c>
      <c r="O217" t="b">
        <f t="shared" si="32"/>
        <v>1</v>
      </c>
      <c r="P217" t="b">
        <f t="shared" si="33"/>
        <v>0</v>
      </c>
      <c r="Q217" t="b">
        <f t="shared" si="34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27"/>
        <v>SOUTHERN_EUROPE_NO_REGION</v>
      </c>
      <c r="I218" t="b">
        <f t="shared" si="28"/>
        <v>0</v>
      </c>
      <c r="J218" t="b">
        <f t="shared" si="35"/>
        <v>0</v>
      </c>
      <c r="K218" t="b">
        <f t="shared" si="29"/>
        <v>1</v>
      </c>
      <c r="L218" t="b">
        <f t="shared" si="30"/>
        <v>0</v>
      </c>
      <c r="M218" t="b">
        <f t="shared" si="31"/>
        <v>0</v>
      </c>
      <c r="N218" t="b">
        <f t="shared" si="31"/>
        <v>0</v>
      </c>
      <c r="O218" t="b">
        <f t="shared" si="32"/>
        <v>0</v>
      </c>
      <c r="P218" t="b">
        <f t="shared" si="33"/>
        <v>0</v>
      </c>
      <c r="Q218" t="b">
        <f t="shared" si="34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27"/>
        <v>NORTHERN_EUROPE_NO_REGION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0</v>
      </c>
      <c r="M219" t="b">
        <f t="shared" si="31"/>
        <v>0</v>
      </c>
      <c r="N219" t="b">
        <f t="shared" si="31"/>
        <v>1</v>
      </c>
      <c r="O219" t="b">
        <f t="shared" si="32"/>
        <v>0</v>
      </c>
      <c r="P219" t="b">
        <f t="shared" si="33"/>
        <v>0</v>
      </c>
      <c r="Q219" t="b">
        <f t="shared" si="34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REGIONTYPE4</v>
      </c>
      <c r="G220" s="31" t="str">
        <f>_xlfn.XLOOKUP($A220,PROPERTIES[VEHIDCODE],PROPERTIES[REGION2])</f>
        <v>NO_REGION</v>
      </c>
      <c r="H220" s="31" t="str">
        <f t="shared" si="27"/>
        <v>REGIONTYPE4_NO_REGION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1</v>
      </c>
      <c r="M220" t="b">
        <f t="shared" si="31"/>
        <v>0</v>
      </c>
      <c r="N220" t="b">
        <f t="shared" si="31"/>
        <v>0</v>
      </c>
      <c r="O220" t="b">
        <f t="shared" si="32"/>
        <v>0</v>
      </c>
      <c r="P220" t="b">
        <f t="shared" si="33"/>
        <v>0</v>
      </c>
      <c r="Q220" t="b">
        <f t="shared" si="34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27"/>
        <v>OCEANIA_NO_REGION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1"/>
        <v>0</v>
      </c>
      <c r="O221" t="b">
        <f t="shared" si="32"/>
        <v>0</v>
      </c>
      <c r="P221" t="b">
        <f t="shared" si="33"/>
        <v>0</v>
      </c>
      <c r="Q221" t="b">
        <f t="shared" si="34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27"/>
        <v>NORTH_AMERICA_NO_REGION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0</v>
      </c>
      <c r="N222" t="b">
        <f t="shared" si="31"/>
        <v>0</v>
      </c>
      <c r="O222" t="b">
        <f t="shared" si="32"/>
        <v>1</v>
      </c>
      <c r="P222" t="b">
        <f t="shared" si="33"/>
        <v>0</v>
      </c>
      <c r="Q222" t="b">
        <f t="shared" si="34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REGIONTYPE4</v>
      </c>
      <c r="G223" s="31" t="str">
        <f>_xlfn.XLOOKUP($A223,PROPERTIES[VEHIDCODE],PROPERTIES[REGION2])</f>
        <v>NO_REGION</v>
      </c>
      <c r="H223" s="31" t="str">
        <f t="shared" si="27"/>
        <v>REGIONTYPE4_NO_REGION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1</v>
      </c>
      <c r="M223" t="b">
        <f t="shared" si="31"/>
        <v>0</v>
      </c>
      <c r="N223" t="b">
        <f t="shared" si="31"/>
        <v>0</v>
      </c>
      <c r="O223" t="b">
        <f t="shared" si="32"/>
        <v>0</v>
      </c>
      <c r="P223" t="b">
        <f t="shared" si="33"/>
        <v>0</v>
      </c>
      <c r="Q223" t="b">
        <f t="shared" si="34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27"/>
        <v>SOUTH_AMERICA_NO_REGION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1"/>
        <v>0</v>
      </c>
      <c r="O224" t="b">
        <f t="shared" si="32"/>
        <v>0</v>
      </c>
      <c r="P224" t="b">
        <f t="shared" si="33"/>
        <v>1</v>
      </c>
      <c r="Q224" t="b">
        <f t="shared" si="34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27"/>
        <v>WESTERN_EUROPE_NO_REGION</v>
      </c>
      <c r="I225" t="b">
        <f t="shared" si="28"/>
        <v>0</v>
      </c>
      <c r="J225" t="b">
        <f t="shared" si="35"/>
        <v>0</v>
      </c>
      <c r="K225" t="b">
        <f t="shared" si="29"/>
        <v>0</v>
      </c>
      <c r="L225" t="b">
        <f t="shared" si="30"/>
        <v>0</v>
      </c>
      <c r="M225" t="b">
        <f t="shared" si="31"/>
        <v>1</v>
      </c>
      <c r="N225" t="b">
        <f t="shared" si="31"/>
        <v>0</v>
      </c>
      <c r="O225" t="b">
        <f t="shared" si="32"/>
        <v>0</v>
      </c>
      <c r="P225" t="b">
        <f t="shared" si="33"/>
        <v>0</v>
      </c>
      <c r="Q225" t="b">
        <f t="shared" si="34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27"/>
        <v>ALL_EUROPE_AFRICA</v>
      </c>
      <c r="I226" t="b">
        <f t="shared" si="28"/>
        <v>1</v>
      </c>
      <c r="J226" t="b">
        <f t="shared" si="35"/>
        <v>0</v>
      </c>
      <c r="K226" t="b">
        <f t="shared" si="29"/>
        <v>1</v>
      </c>
      <c r="L226" t="b">
        <f t="shared" si="30"/>
        <v>1</v>
      </c>
      <c r="M226" t="b">
        <f t="shared" si="31"/>
        <v>1</v>
      </c>
      <c r="N226" t="b">
        <f t="shared" si="31"/>
        <v>1</v>
      </c>
      <c r="O226" t="b">
        <f t="shared" si="32"/>
        <v>0</v>
      </c>
      <c r="P226" t="b">
        <f t="shared" si="33"/>
        <v>0</v>
      </c>
      <c r="Q226" t="b">
        <f t="shared" si="34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27"/>
        <v>NORTHERN_EUROPE_NO_REGION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0</v>
      </c>
      <c r="M227" t="b">
        <f t="shared" si="31"/>
        <v>0</v>
      </c>
      <c r="N227" t="b">
        <f t="shared" si="31"/>
        <v>1</v>
      </c>
      <c r="O227" t="b">
        <f t="shared" si="32"/>
        <v>0</v>
      </c>
      <c r="P227" t="b">
        <f t="shared" si="33"/>
        <v>0</v>
      </c>
      <c r="Q227" t="b">
        <f t="shared" si="34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27"/>
        <v>ASIA_NO_REGION</v>
      </c>
      <c r="I228" t="b">
        <f t="shared" si="28"/>
        <v>0</v>
      </c>
      <c r="J228" t="b">
        <f t="shared" si="35"/>
        <v>1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1"/>
        <v>0</v>
      </c>
      <c r="O228" t="b">
        <f t="shared" si="32"/>
        <v>0</v>
      </c>
      <c r="P228" t="b">
        <f t="shared" si="33"/>
        <v>0</v>
      </c>
      <c r="Q228" t="b">
        <f t="shared" si="34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27"/>
        <v>EASTERN_EUROPE_NO_REGION</v>
      </c>
      <c r="I229" t="b">
        <f t="shared" si="28"/>
        <v>0</v>
      </c>
      <c r="J229" t="b">
        <f t="shared" si="35"/>
        <v>0</v>
      </c>
      <c r="K229" t="b">
        <f t="shared" si="29"/>
        <v>0</v>
      </c>
      <c r="L229" t="b">
        <f t="shared" si="30"/>
        <v>1</v>
      </c>
      <c r="M229" t="b">
        <f t="shared" si="31"/>
        <v>0</v>
      </c>
      <c r="N229" t="b">
        <f t="shared" si="31"/>
        <v>0</v>
      </c>
      <c r="O229" t="b">
        <f t="shared" si="32"/>
        <v>0</v>
      </c>
      <c r="P229" t="b">
        <f t="shared" si="33"/>
        <v>0</v>
      </c>
      <c r="Q229" t="b">
        <f t="shared" si="34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27"/>
        <v>ASIA_NO_REGION</v>
      </c>
      <c r="I230" t="b">
        <f t="shared" si="28"/>
        <v>0</v>
      </c>
      <c r="J230" t="b">
        <f t="shared" si="35"/>
        <v>1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1"/>
        <v>0</v>
      </c>
      <c r="O230" t="b">
        <f t="shared" si="32"/>
        <v>0</v>
      </c>
      <c r="P230" t="b">
        <f t="shared" si="33"/>
        <v>0</v>
      </c>
      <c r="Q230" t="b">
        <f t="shared" si="34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27"/>
        <v>WESTERN_EUROPE_NO_REGION</v>
      </c>
      <c r="I231" t="b">
        <f t="shared" si="28"/>
        <v>0</v>
      </c>
      <c r="J231" t="b">
        <f t="shared" si="35"/>
        <v>0</v>
      </c>
      <c r="K231" t="b">
        <f t="shared" si="29"/>
        <v>0</v>
      </c>
      <c r="L231" t="b">
        <f t="shared" si="30"/>
        <v>0</v>
      </c>
      <c r="M231" t="b">
        <f t="shared" si="31"/>
        <v>1</v>
      </c>
      <c r="N231" t="b">
        <f t="shared" si="31"/>
        <v>0</v>
      </c>
      <c r="O231" t="b">
        <f t="shared" si="32"/>
        <v>0</v>
      </c>
      <c r="P231" t="b">
        <f t="shared" si="33"/>
        <v>0</v>
      </c>
      <c r="Q231" t="b">
        <f t="shared" si="34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27"/>
        <v>ASIA_NO_REGION</v>
      </c>
      <c r="I232" t="b">
        <f t="shared" si="28"/>
        <v>0</v>
      </c>
      <c r="J232" t="b">
        <f t="shared" si="35"/>
        <v>1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1"/>
        <v>0</v>
      </c>
      <c r="O232" t="b">
        <f t="shared" si="32"/>
        <v>0</v>
      </c>
      <c r="P232" t="b">
        <f t="shared" si="33"/>
        <v>0</v>
      </c>
      <c r="Q232" t="b">
        <f t="shared" si="34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27"/>
        <v>ASIA_ALL_EUROPE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1</v>
      </c>
      <c r="M233" t="b">
        <f t="shared" si="31"/>
        <v>1</v>
      </c>
      <c r="N233" t="b">
        <f t="shared" si="31"/>
        <v>1</v>
      </c>
      <c r="O233" t="b">
        <f t="shared" si="32"/>
        <v>0</v>
      </c>
      <c r="P233" t="b">
        <f t="shared" si="33"/>
        <v>0</v>
      </c>
      <c r="Q233" t="b">
        <f t="shared" si="34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27"/>
        <v>WESTERN_EUROPE_NO_REGION</v>
      </c>
      <c r="I234" t="b">
        <f t="shared" si="28"/>
        <v>0</v>
      </c>
      <c r="J234" t="b">
        <f t="shared" si="35"/>
        <v>0</v>
      </c>
      <c r="K234" t="b">
        <f t="shared" si="29"/>
        <v>0</v>
      </c>
      <c r="L234" t="b">
        <f t="shared" si="30"/>
        <v>0</v>
      </c>
      <c r="M234" t="b">
        <f t="shared" si="31"/>
        <v>1</v>
      </c>
      <c r="N234" t="b">
        <f t="shared" si="31"/>
        <v>0</v>
      </c>
      <c r="O234" t="b">
        <f t="shared" si="32"/>
        <v>0</v>
      </c>
      <c r="P234" t="b">
        <f t="shared" si="33"/>
        <v>0</v>
      </c>
      <c r="Q234" t="b">
        <f t="shared" si="34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1960</v>
      </c>
      <c r="E235" t="str">
        <f>_xlfn.XLOOKUP($A235,PROPERTIES[VEHIDCODE],PROPERTIES[ROLE])</f>
        <v>Universal</v>
      </c>
      <c r="F235" s="31" t="str">
        <f>_xlfn.XLOOKUP($A235,PROPERTIES[VEHIDCODE],PROPERTIES[REGION1])</f>
        <v>REGIONTYPE4</v>
      </c>
      <c r="G235" s="31" t="str">
        <f>_xlfn.XLOOKUP($A235,PROPERTIES[VEHIDCODE],PROPERTIES[REGION2])</f>
        <v>NO_REGION</v>
      </c>
      <c r="H235" s="31" t="str">
        <f t="shared" si="27"/>
        <v>REGIONTYPE4_NO_REGION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1</v>
      </c>
      <c r="M235" t="b">
        <f t="shared" si="31"/>
        <v>0</v>
      </c>
      <c r="N235" t="b">
        <f t="shared" si="31"/>
        <v>0</v>
      </c>
      <c r="O235" t="b">
        <f t="shared" si="32"/>
        <v>0</v>
      </c>
      <c r="P235" t="b">
        <f t="shared" si="33"/>
        <v>0</v>
      </c>
      <c r="Q235" t="b">
        <f t="shared" si="34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27"/>
        <v>NORTH_AMERICA_NO_REGION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0</v>
      </c>
      <c r="N236" t="b">
        <f t="shared" si="31"/>
        <v>0</v>
      </c>
      <c r="O236" t="b">
        <f t="shared" si="32"/>
        <v>1</v>
      </c>
      <c r="P236" t="b">
        <f t="shared" si="33"/>
        <v>0</v>
      </c>
      <c r="Q236" t="b">
        <f t="shared" si="34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27"/>
        <v>NORTHERN_EUROPE_NO_REGION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0</v>
      </c>
      <c r="M237" t="b">
        <f t="shared" si="31"/>
        <v>0</v>
      </c>
      <c r="N237" t="b">
        <f t="shared" si="31"/>
        <v>1</v>
      </c>
      <c r="O237" t="b">
        <f t="shared" si="32"/>
        <v>0</v>
      </c>
      <c r="P237" t="b">
        <f t="shared" si="33"/>
        <v>0</v>
      </c>
      <c r="Q237" t="b">
        <f t="shared" si="34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27"/>
        <v>NORTH_AMERICA_NO_REGION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0</v>
      </c>
      <c r="N238" t="b">
        <f t="shared" si="31"/>
        <v>0</v>
      </c>
      <c r="O238" t="b">
        <f t="shared" si="32"/>
        <v>1</v>
      </c>
      <c r="P238" t="b">
        <f t="shared" si="33"/>
        <v>0</v>
      </c>
      <c r="Q238" t="b">
        <f t="shared" si="34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27"/>
        <v>NORTH_AMERICA_NO_REGION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0</v>
      </c>
      <c r="N239" t="b">
        <f t="shared" si="31"/>
        <v>0</v>
      </c>
      <c r="O239" t="b">
        <f t="shared" si="32"/>
        <v>1</v>
      </c>
      <c r="P239" t="b">
        <f t="shared" si="33"/>
        <v>0</v>
      </c>
      <c r="Q239" t="b">
        <f t="shared" si="34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27"/>
        <v>NORTHERN_EUROPE_NO_REGION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0</v>
      </c>
      <c r="M240" t="b">
        <f t="shared" si="31"/>
        <v>0</v>
      </c>
      <c r="N240" t="b">
        <f t="shared" si="31"/>
        <v>1</v>
      </c>
      <c r="O240" t="b">
        <f t="shared" si="32"/>
        <v>0</v>
      </c>
      <c r="P240" t="b">
        <f t="shared" si="33"/>
        <v>0</v>
      </c>
      <c r="Q240" t="b">
        <f t="shared" si="34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27"/>
        <v>OCEANIA_NO_REGION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1"/>
        <v>0</v>
      </c>
      <c r="O241" t="b">
        <f t="shared" si="32"/>
        <v>0</v>
      </c>
      <c r="P241" t="b">
        <f t="shared" si="33"/>
        <v>0</v>
      </c>
      <c r="Q241" t="b">
        <f t="shared" si="34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27"/>
        <v>NORTH_AMERICA_NO_REGION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0</v>
      </c>
      <c r="N242" t="b">
        <f t="shared" si="31"/>
        <v>0</v>
      </c>
      <c r="O242" t="b">
        <f t="shared" si="32"/>
        <v>1</v>
      </c>
      <c r="P242" t="b">
        <f t="shared" si="33"/>
        <v>0</v>
      </c>
      <c r="Q242" t="b">
        <f t="shared" si="34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27"/>
        <v>AFRICA_NO_REGION</v>
      </c>
      <c r="I243" t="b">
        <f t="shared" si="28"/>
        <v>1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1"/>
        <v>0</v>
      </c>
      <c r="O243" t="b">
        <f t="shared" si="32"/>
        <v>0</v>
      </c>
      <c r="P243" t="b">
        <f t="shared" si="33"/>
        <v>0</v>
      </c>
      <c r="Q243" t="b">
        <f t="shared" si="34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27"/>
        <v>NORTHERN_EUROPE_NO_REGION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0</v>
      </c>
      <c r="M244" t="b">
        <f t="shared" si="31"/>
        <v>0</v>
      </c>
      <c r="N244" t="b">
        <f t="shared" si="31"/>
        <v>1</v>
      </c>
      <c r="O244" t="b">
        <f t="shared" si="32"/>
        <v>0</v>
      </c>
      <c r="P244" t="b">
        <f t="shared" si="33"/>
        <v>0</v>
      </c>
      <c r="Q244" t="b">
        <f t="shared" si="34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27"/>
        <v>SOUTH_AMERICA_NO_REGION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0</v>
      </c>
      <c r="N245" t="b">
        <f t="shared" si="31"/>
        <v>0</v>
      </c>
      <c r="O245" t="b">
        <f t="shared" si="32"/>
        <v>0</v>
      </c>
      <c r="P245" t="b">
        <f t="shared" si="33"/>
        <v>1</v>
      </c>
      <c r="Q245" t="b">
        <f t="shared" si="34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27"/>
        <v>NORTH_AMERICA_NO_REGION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0</v>
      </c>
      <c r="N246" t="b">
        <f t="shared" si="31"/>
        <v>0</v>
      </c>
      <c r="O246" t="b">
        <f t="shared" si="32"/>
        <v>1</v>
      </c>
      <c r="P246" t="b">
        <f t="shared" si="33"/>
        <v>0</v>
      </c>
      <c r="Q246" t="b">
        <f t="shared" si="34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27"/>
        <v>OCEANIA_NO_REGION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1"/>
        <v>0</v>
      </c>
      <c r="O247" t="b">
        <f t="shared" si="32"/>
        <v>0</v>
      </c>
      <c r="P247" t="b">
        <f t="shared" si="33"/>
        <v>0</v>
      </c>
      <c r="Q247" t="b">
        <f t="shared" si="34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27"/>
        <v>ASIA_NO_REGION</v>
      </c>
      <c r="I248" t="b">
        <f t="shared" si="28"/>
        <v>0</v>
      </c>
      <c r="J248" t="b">
        <f t="shared" si="35"/>
        <v>1</v>
      </c>
      <c r="K248" t="b">
        <f t="shared" si="29"/>
        <v>0</v>
      </c>
      <c r="L248" t="b">
        <f t="shared" si="30"/>
        <v>0</v>
      </c>
      <c r="M248" t="b">
        <f t="shared" si="31"/>
        <v>0</v>
      </c>
      <c r="N248" t="b">
        <f t="shared" si="31"/>
        <v>0</v>
      </c>
      <c r="O248" t="b">
        <f t="shared" si="32"/>
        <v>0</v>
      </c>
      <c r="P248" t="b">
        <f t="shared" si="33"/>
        <v>0</v>
      </c>
      <c r="Q248" t="b">
        <f t="shared" si="34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27"/>
        <v>NORTHERN_EUROPE_NO_REGION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0</v>
      </c>
      <c r="M249" t="b">
        <f t="shared" si="31"/>
        <v>0</v>
      </c>
      <c r="N249" t="b">
        <f t="shared" si="31"/>
        <v>1</v>
      </c>
      <c r="O249" t="b">
        <f t="shared" si="32"/>
        <v>0</v>
      </c>
      <c r="P249" t="b">
        <f t="shared" si="33"/>
        <v>0</v>
      </c>
      <c r="Q249" t="b">
        <f t="shared" si="34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27"/>
        <v>SOUTHERN_EUROPE_NO_REGION</v>
      </c>
      <c r="I250" t="b">
        <f t="shared" si="28"/>
        <v>0</v>
      </c>
      <c r="J250" t="b">
        <f t="shared" si="35"/>
        <v>0</v>
      </c>
      <c r="K250" t="b">
        <f t="shared" si="29"/>
        <v>1</v>
      </c>
      <c r="L250" t="b">
        <f t="shared" si="30"/>
        <v>0</v>
      </c>
      <c r="M250" t="b">
        <f t="shared" si="31"/>
        <v>0</v>
      </c>
      <c r="N250" t="b">
        <f t="shared" si="31"/>
        <v>0</v>
      </c>
      <c r="O250" t="b">
        <f t="shared" si="32"/>
        <v>0</v>
      </c>
      <c r="P250" t="b">
        <f t="shared" si="33"/>
        <v>0</v>
      </c>
      <c r="Q250" t="b">
        <f t="shared" si="34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27"/>
        <v>OCEANIA_NO_REGION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1"/>
        <v>0</v>
      </c>
      <c r="O251" t="b">
        <f t="shared" si="32"/>
        <v>0</v>
      </c>
      <c r="P251" t="b">
        <f t="shared" si="33"/>
        <v>0</v>
      </c>
      <c r="Q251" t="b">
        <f t="shared" si="34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27"/>
        <v>AFRICA_NO_REGION</v>
      </c>
      <c r="I252" t="b">
        <f t="shared" si="28"/>
        <v>1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1"/>
        <v>0</v>
      </c>
      <c r="O252" t="b">
        <f t="shared" si="32"/>
        <v>0</v>
      </c>
      <c r="P252" t="b">
        <f t="shared" si="33"/>
        <v>0</v>
      </c>
      <c r="Q252" t="b">
        <f t="shared" si="34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27"/>
        <v>ASIA_NO_REGION</v>
      </c>
      <c r="I253" t="b">
        <f t="shared" si="28"/>
        <v>0</v>
      </c>
      <c r="J253" t="b">
        <f t="shared" si="35"/>
        <v>1</v>
      </c>
      <c r="K253" t="b">
        <f t="shared" si="29"/>
        <v>0</v>
      </c>
      <c r="L253" t="b">
        <f t="shared" si="30"/>
        <v>0</v>
      </c>
      <c r="M253" t="b">
        <f t="shared" si="31"/>
        <v>0</v>
      </c>
      <c r="N253" t="b">
        <f t="shared" si="31"/>
        <v>0</v>
      </c>
      <c r="O253" t="b">
        <f t="shared" si="32"/>
        <v>0</v>
      </c>
      <c r="P253" t="b">
        <f t="shared" si="33"/>
        <v>0</v>
      </c>
      <c r="Q253" t="b">
        <f t="shared" si="34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27"/>
        <v>SOUTHERN_EUROPE_NO_REGION</v>
      </c>
      <c r="I254" t="b">
        <f t="shared" si="28"/>
        <v>0</v>
      </c>
      <c r="J254" t="b">
        <f t="shared" si="35"/>
        <v>0</v>
      </c>
      <c r="K254" t="b">
        <f t="shared" si="29"/>
        <v>1</v>
      </c>
      <c r="L254" t="b">
        <f t="shared" si="30"/>
        <v>0</v>
      </c>
      <c r="M254" t="b">
        <f t="shared" si="31"/>
        <v>0</v>
      </c>
      <c r="N254" t="b">
        <f t="shared" si="31"/>
        <v>0</v>
      </c>
      <c r="O254" t="b">
        <f t="shared" si="32"/>
        <v>0</v>
      </c>
      <c r="P254" t="b">
        <f t="shared" si="33"/>
        <v>0</v>
      </c>
      <c r="Q254" t="b">
        <f t="shared" si="34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27"/>
        <v>NORTHERN_EUROPE_NO_REGION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0</v>
      </c>
      <c r="M255" t="b">
        <f t="shared" si="31"/>
        <v>0</v>
      </c>
      <c r="N255" t="b">
        <f t="shared" si="31"/>
        <v>1</v>
      </c>
      <c r="O255" t="b">
        <f t="shared" si="32"/>
        <v>0</v>
      </c>
      <c r="P255" t="b">
        <f t="shared" si="33"/>
        <v>0</v>
      </c>
      <c r="Q255" t="b">
        <f t="shared" si="34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27"/>
        <v>ASIA_NO_REGION</v>
      </c>
      <c r="I256" t="b">
        <f t="shared" si="28"/>
        <v>0</v>
      </c>
      <c r="J256" t="b">
        <f t="shared" si="35"/>
        <v>1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1"/>
        <v>0</v>
      </c>
      <c r="O256" t="b">
        <f t="shared" si="32"/>
        <v>0</v>
      </c>
      <c r="P256" t="b">
        <f t="shared" si="33"/>
        <v>0</v>
      </c>
      <c r="Q256" t="b">
        <f t="shared" si="34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27"/>
        <v>OCEANIA_NO_REGION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1"/>
        <v>0</v>
      </c>
      <c r="O257" t="b">
        <f t="shared" si="32"/>
        <v>0</v>
      </c>
      <c r="P257" t="b">
        <f t="shared" si="33"/>
        <v>0</v>
      </c>
      <c r="Q257" t="b">
        <f t="shared" si="34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27"/>
        <v>NORTHERN_EUROPE_NO_REGION</v>
      </c>
      <c r="I258" t="b">
        <f t="shared" si="28"/>
        <v>0</v>
      </c>
      <c r="J258" t="b">
        <f t="shared" si="35"/>
        <v>0</v>
      </c>
      <c r="K258" t="b">
        <f t="shared" si="29"/>
        <v>0</v>
      </c>
      <c r="L258" t="b">
        <f t="shared" si="30"/>
        <v>0</v>
      </c>
      <c r="M258" t="b">
        <f t="shared" si="31"/>
        <v>0</v>
      </c>
      <c r="N258" t="b">
        <f t="shared" si="31"/>
        <v>1</v>
      </c>
      <c r="O258" t="b">
        <f t="shared" si="32"/>
        <v>0</v>
      </c>
      <c r="P258" t="b">
        <f t="shared" si="33"/>
        <v>0</v>
      </c>
      <c r="Q258" t="b">
        <f t="shared" si="34"/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36">_xlfn.CONCAT($F259,"_",$G259)</f>
        <v>OCEANIA_NO_REGION</v>
      </c>
      <c r="I259" t="b">
        <f t="shared" ref="I259:I322" si="37">OR(ISNUMBER(SEARCH("ALL_REGION",$H259)),
ISNUMBER(SEARCH("AFRICA",$H259)),
ISNUMBER(SEARCH("REGIONTYPE1",$H259)),
ISNUMBER(SEARCH("REGIONTYPE2",$H259)))</f>
        <v>0</v>
      </c>
      <c r="J259" t="b">
        <f t="shared" si="35"/>
        <v>0</v>
      </c>
      <c r="K259" t="b">
        <f t="shared" ref="K259:K322" si="38">OR(ISNUMBER(SEARCH("ALL_REGION",$H259)),
ISNUMBER(SEARCH("ALL_EUROPE",$H259)),
ISNUMBER(SEARCH(K$1,$H259)),
ISNUMBER(SEARCH("REGIONTYPE1",$H259)))</f>
        <v>0</v>
      </c>
      <c r="L259" t="b">
        <f t="shared" ref="L259:L322" si="39">OR(ISNUMBER(SEARCH("ALL_REGION",$H259)),
ISNUMBER(SEARCH("ALL_EUROPE",$H259)),
ISNUMBER(SEARCH(L$1,$H259)),
ISNUMBER(SEARCH("REGIONTYPE1",$H259)),
ISNUMBER(SEARCH("REGIONTYPE4",$H259)),
ISNUMBER(SEARCH("REGIONTYPE5",$H259)))</f>
        <v>0</v>
      </c>
      <c r="M259" t="b">
        <f t="shared" ref="M259:N322" si="40">OR(ISNUMBER(SEARCH("ALL_REGION",$H259)),
ISNUMBER(SEARCH("ALL_EUROPE",$H259)),
ISNUMBER(SEARCH(M$1,$H259)),
ISNUMBER(SEARCH("REGIONTYPE1",$H259)),
ISNUMBER(SEARCH("REGIONTYPE6",$H259)))</f>
        <v>0</v>
      </c>
      <c r="N259" t="b">
        <f t="shared" si="40"/>
        <v>0</v>
      </c>
      <c r="O259" t="b">
        <f t="shared" ref="O259:O322" si="41">OR(ISNUMBER(SEARCH("ALL_REGION",$H259)),
ISNUMBER(SEARCH("ALL_AMERICA",$H259)),
ISNUMBER(SEARCH(O$1,$H259)),
ISNUMBER(SEARCH("REGIONTYPE2",$H259)))</f>
        <v>0</v>
      </c>
      <c r="P259" t="b">
        <f t="shared" ref="P259:P322" si="42">OR(ISNUMBER(SEARCH("ALL_REGION",$H259)),
ISNUMBER(SEARCH("ALL_AMERICA",$H259)),
ISNUMBER(SEARCH(P$1,$H259)),
ISNUMBER(SEARCH("REGIONTYPE2",$H259)),
ISNUMBER(SEARCH("REGIONTYPE5",$H259)))</f>
        <v>0</v>
      </c>
      <c r="Q259" t="b">
        <f t="shared" ref="Q259:Q322" si="43">OR(ISNUMBER(SEARCH("ALL_REGION",$H259)),
ISNUMBER(SEARCH(Q$1,$H259)),
ISNUMBER(SEARCH("REGIONTYPE3",$H259)))</f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36"/>
        <v>ASIA_NO_REGION</v>
      </c>
      <c r="I260" t="b">
        <f t="shared" si="37"/>
        <v>0</v>
      </c>
      <c r="J260" t="b">
        <f t="shared" ref="J260:J323" si="44">OR(ISNUMBER(SEARCH("ALL_REGION",$H260)),
ISNUMBER(SEARCH("ASIA",$H260)),
ISNUMBER(SEARCH("REGIONTYPE1",$H260)),
ISNUMBER(SEARCH("REGIONTYPE2",$H260)),
ISNUMBER(SEARCH("REGIONTYPE3",$H260)),
ISNUMBER(SEARCH("REGIONTYPE4",$H260)))</f>
        <v>1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0"/>
        <v>0</v>
      </c>
      <c r="O260" t="b">
        <f t="shared" si="41"/>
        <v>0</v>
      </c>
      <c r="P260" t="b">
        <f t="shared" si="42"/>
        <v>0</v>
      </c>
      <c r="Q260" t="b">
        <f t="shared" si="43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36"/>
        <v>NORTHERN_EUROPE_NO_REGION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0</v>
      </c>
      <c r="M261" t="b">
        <f t="shared" si="40"/>
        <v>0</v>
      </c>
      <c r="N261" t="b">
        <f t="shared" si="40"/>
        <v>1</v>
      </c>
      <c r="O261" t="b">
        <f t="shared" si="41"/>
        <v>0</v>
      </c>
      <c r="P261" t="b">
        <f t="shared" si="42"/>
        <v>0</v>
      </c>
      <c r="Q261" t="b">
        <f t="shared" si="43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36"/>
        <v>NORTH_AMERICA_NO_REGION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0</v>
      </c>
      <c r="N262" t="b">
        <f t="shared" si="40"/>
        <v>0</v>
      </c>
      <c r="O262" t="b">
        <f t="shared" si="41"/>
        <v>1</v>
      </c>
      <c r="P262" t="b">
        <f t="shared" si="42"/>
        <v>0</v>
      </c>
      <c r="Q262" t="b">
        <f t="shared" si="43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36"/>
        <v>WESTERN_EUROPE_NO_REGION</v>
      </c>
      <c r="I263" t="b">
        <f t="shared" si="37"/>
        <v>0</v>
      </c>
      <c r="J263" t="b">
        <f t="shared" si="44"/>
        <v>0</v>
      </c>
      <c r="K263" t="b">
        <f t="shared" si="38"/>
        <v>0</v>
      </c>
      <c r="L263" t="b">
        <f t="shared" si="39"/>
        <v>0</v>
      </c>
      <c r="M263" t="b">
        <f t="shared" si="40"/>
        <v>1</v>
      </c>
      <c r="N263" t="b">
        <f t="shared" si="40"/>
        <v>0</v>
      </c>
      <c r="O263" t="b">
        <f t="shared" si="41"/>
        <v>0</v>
      </c>
      <c r="P263" t="b">
        <f t="shared" si="42"/>
        <v>0</v>
      </c>
      <c r="Q263" t="b">
        <f t="shared" si="43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36"/>
        <v>SOUTHERN_EUROPE_NO_REGION</v>
      </c>
      <c r="I264" t="b">
        <f t="shared" si="37"/>
        <v>0</v>
      </c>
      <c r="J264" t="b">
        <f t="shared" si="44"/>
        <v>0</v>
      </c>
      <c r="K264" t="b">
        <f t="shared" si="38"/>
        <v>1</v>
      </c>
      <c r="L264" t="b">
        <f t="shared" si="39"/>
        <v>0</v>
      </c>
      <c r="M264" t="b">
        <f t="shared" si="40"/>
        <v>0</v>
      </c>
      <c r="N264" t="b">
        <f t="shared" si="40"/>
        <v>0</v>
      </c>
      <c r="O264" t="b">
        <f t="shared" si="41"/>
        <v>0</v>
      </c>
      <c r="P264" t="b">
        <f t="shared" si="42"/>
        <v>0</v>
      </c>
      <c r="Q264" t="b">
        <f t="shared" si="43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36"/>
        <v>NORTH_AMERICA_NO_REGION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0</v>
      </c>
      <c r="N265" t="b">
        <f t="shared" si="40"/>
        <v>0</v>
      </c>
      <c r="O265" t="b">
        <f t="shared" si="41"/>
        <v>1</v>
      </c>
      <c r="P265" t="b">
        <f t="shared" si="42"/>
        <v>0</v>
      </c>
      <c r="Q265" t="b">
        <f t="shared" si="43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36"/>
        <v>SOUTHERN_EUROPE_NO_REGION</v>
      </c>
      <c r="I266" t="b">
        <f t="shared" si="37"/>
        <v>0</v>
      </c>
      <c r="J266" t="b">
        <f t="shared" si="44"/>
        <v>0</v>
      </c>
      <c r="K266" t="b">
        <f t="shared" si="38"/>
        <v>1</v>
      </c>
      <c r="L266" t="b">
        <f t="shared" si="39"/>
        <v>0</v>
      </c>
      <c r="M266" t="b">
        <f t="shared" si="40"/>
        <v>0</v>
      </c>
      <c r="N266" t="b">
        <f t="shared" si="40"/>
        <v>0</v>
      </c>
      <c r="O266" t="b">
        <f t="shared" si="41"/>
        <v>0</v>
      </c>
      <c r="P266" t="b">
        <f t="shared" si="42"/>
        <v>0</v>
      </c>
      <c r="Q266" t="b">
        <f t="shared" si="43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36"/>
        <v>OCEANIA_NO_REGION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0"/>
        <v>0</v>
      </c>
      <c r="O267" t="b">
        <f t="shared" si="41"/>
        <v>0</v>
      </c>
      <c r="P267" t="b">
        <f t="shared" si="42"/>
        <v>0</v>
      </c>
      <c r="Q267" t="b">
        <f t="shared" si="43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36"/>
        <v>SOUTH_AMERICA_NO_REGION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0"/>
        <v>0</v>
      </c>
      <c r="O268" t="b">
        <f t="shared" si="41"/>
        <v>0</v>
      </c>
      <c r="P268" t="b">
        <f t="shared" si="42"/>
        <v>1</v>
      </c>
      <c r="Q268" t="b">
        <f t="shared" si="43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36"/>
        <v>SOUTH_AMERICA_NO_REGION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0"/>
        <v>0</v>
      </c>
      <c r="O269" t="b">
        <f t="shared" si="41"/>
        <v>0</v>
      </c>
      <c r="P269" t="b">
        <f t="shared" si="42"/>
        <v>1</v>
      </c>
      <c r="Q269" t="b">
        <f t="shared" si="43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36"/>
        <v>SOUTH_AMERICA_NO_REGION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0"/>
        <v>0</v>
      </c>
      <c r="O270" t="b">
        <f t="shared" si="41"/>
        <v>0</v>
      </c>
      <c r="P270" t="b">
        <f t="shared" si="42"/>
        <v>1</v>
      </c>
      <c r="Q270" t="b">
        <f t="shared" si="43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36"/>
        <v>SOUTH_AMERICA_NO_REGION</v>
      </c>
      <c r="I271" t="b">
        <f t="shared" si="37"/>
        <v>0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0"/>
        <v>0</v>
      </c>
      <c r="O271" t="b">
        <f t="shared" si="41"/>
        <v>0</v>
      </c>
      <c r="P271" t="b">
        <f t="shared" si="42"/>
        <v>1</v>
      </c>
      <c r="Q271" t="b">
        <f t="shared" si="43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36"/>
        <v>SOUTH_AMERICA_NO_REGION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0"/>
        <v>0</v>
      </c>
      <c r="O272" t="b">
        <f t="shared" si="41"/>
        <v>0</v>
      </c>
      <c r="P272" t="b">
        <f t="shared" si="42"/>
        <v>1</v>
      </c>
      <c r="Q272" t="b">
        <f t="shared" si="43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36"/>
        <v>SOUTH_AMERICA_NO_REGION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0</v>
      </c>
      <c r="N273" t="b">
        <f t="shared" si="40"/>
        <v>0</v>
      </c>
      <c r="O273" t="b">
        <f t="shared" si="41"/>
        <v>0</v>
      </c>
      <c r="P273" t="b">
        <f t="shared" si="42"/>
        <v>1</v>
      </c>
      <c r="Q273" t="b">
        <f t="shared" si="43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36"/>
        <v>SOUTH_AMERICA_NO_REGION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0"/>
        <v>0</v>
      </c>
      <c r="O274" t="b">
        <f t="shared" si="41"/>
        <v>0</v>
      </c>
      <c r="P274" t="b">
        <f t="shared" si="42"/>
        <v>1</v>
      </c>
      <c r="Q274" t="b">
        <f t="shared" si="43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36"/>
        <v>SOUTH_AMERICA_NO_REGION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0"/>
        <v>0</v>
      </c>
      <c r="O275" t="b">
        <f t="shared" si="41"/>
        <v>0</v>
      </c>
      <c r="P275" t="b">
        <f t="shared" si="42"/>
        <v>1</v>
      </c>
      <c r="Q275" t="b">
        <f t="shared" si="43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36"/>
        <v>AFRICA_NO_REGION</v>
      </c>
      <c r="I276" t="b">
        <f t="shared" si="37"/>
        <v>1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0"/>
        <v>0</v>
      </c>
      <c r="O276" t="b">
        <f t="shared" si="41"/>
        <v>0</v>
      </c>
      <c r="P276" t="b">
        <f t="shared" si="42"/>
        <v>0</v>
      </c>
      <c r="Q276" t="b">
        <f t="shared" si="43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36"/>
        <v>AFRICA_NO_REGION</v>
      </c>
      <c r="I277" t="b">
        <f t="shared" si="37"/>
        <v>1</v>
      </c>
      <c r="J277" t="b">
        <f t="shared" si="44"/>
        <v>0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0"/>
        <v>0</v>
      </c>
      <c r="O277" t="b">
        <f t="shared" si="41"/>
        <v>0</v>
      </c>
      <c r="P277" t="b">
        <f t="shared" si="42"/>
        <v>0</v>
      </c>
      <c r="Q277" t="b">
        <f t="shared" si="43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36"/>
        <v>AFRICA_NO_REGION</v>
      </c>
      <c r="I278" t="b">
        <f t="shared" si="37"/>
        <v>1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0"/>
        <v>0</v>
      </c>
      <c r="O278" t="b">
        <f t="shared" si="41"/>
        <v>0</v>
      </c>
      <c r="P278" t="b">
        <f t="shared" si="42"/>
        <v>0</v>
      </c>
      <c r="Q278" t="b">
        <f t="shared" si="43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REGIONTYPE5</v>
      </c>
      <c r="H279" s="31" t="str">
        <f t="shared" si="36"/>
        <v>AFRICA_REGIONTYPE5</v>
      </c>
      <c r="I279" t="b">
        <f t="shared" si="37"/>
        <v>1</v>
      </c>
      <c r="J279" t="b">
        <f t="shared" si="44"/>
        <v>0</v>
      </c>
      <c r="K279" t="b">
        <f t="shared" si="38"/>
        <v>0</v>
      </c>
      <c r="L279" t="b">
        <f t="shared" si="39"/>
        <v>1</v>
      </c>
      <c r="M279" t="b">
        <f t="shared" si="40"/>
        <v>0</v>
      </c>
      <c r="N279" t="b">
        <f t="shared" si="40"/>
        <v>0</v>
      </c>
      <c r="O279" t="b">
        <f t="shared" si="41"/>
        <v>0</v>
      </c>
      <c r="P279" t="b">
        <f t="shared" si="42"/>
        <v>1</v>
      </c>
      <c r="Q279" t="b">
        <f t="shared" si="43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36"/>
        <v>AFRICA_NO_REGION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0"/>
        <v>0</v>
      </c>
      <c r="O280" t="b">
        <f t="shared" si="41"/>
        <v>0</v>
      </c>
      <c r="P280" t="b">
        <f t="shared" si="42"/>
        <v>0</v>
      </c>
      <c r="Q280" t="b">
        <f t="shared" si="43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36"/>
        <v>AFRICA_NO_REGION</v>
      </c>
      <c r="I281" t="b">
        <f t="shared" si="37"/>
        <v>1</v>
      </c>
      <c r="J281" t="b">
        <f t="shared" si="44"/>
        <v>0</v>
      </c>
      <c r="K281" t="b">
        <f t="shared" si="38"/>
        <v>0</v>
      </c>
      <c r="L281" t="b">
        <f t="shared" si="39"/>
        <v>0</v>
      </c>
      <c r="M281" t="b">
        <f t="shared" si="40"/>
        <v>0</v>
      </c>
      <c r="N281" t="b">
        <f t="shared" si="40"/>
        <v>0</v>
      </c>
      <c r="O281" t="b">
        <f t="shared" si="41"/>
        <v>0</v>
      </c>
      <c r="P281" t="b">
        <f t="shared" si="42"/>
        <v>0</v>
      </c>
      <c r="Q281" t="b">
        <f t="shared" si="43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REGIONTYPE4</v>
      </c>
      <c r="G282" s="31" t="str">
        <f>_xlfn.XLOOKUP($A282,PROPERTIES[VEHIDCODE],PROPERTIES[REGION2])</f>
        <v>NO_REGION</v>
      </c>
      <c r="H282" s="31" t="str">
        <f t="shared" si="36"/>
        <v>REGIONTYPE4_NO_REGION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1</v>
      </c>
      <c r="M282" t="b">
        <f t="shared" si="40"/>
        <v>0</v>
      </c>
      <c r="N282" t="b">
        <f t="shared" si="40"/>
        <v>0</v>
      </c>
      <c r="O282" t="b">
        <f t="shared" si="41"/>
        <v>0</v>
      </c>
      <c r="P282" t="b">
        <f t="shared" si="42"/>
        <v>0</v>
      </c>
      <c r="Q282" t="b">
        <f t="shared" si="43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REGIONTYPE4</v>
      </c>
      <c r="G283" s="31" t="str">
        <f>_xlfn.XLOOKUP($A283,PROPERTIES[VEHIDCODE],PROPERTIES[REGION2])</f>
        <v>NO_REGION</v>
      </c>
      <c r="H283" s="31" t="str">
        <f t="shared" si="36"/>
        <v>REGIONTYPE4_NO_REGION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0"/>
        <v>0</v>
      </c>
      <c r="O283" t="b">
        <f t="shared" si="41"/>
        <v>0</v>
      </c>
      <c r="P283" t="b">
        <f t="shared" si="42"/>
        <v>0</v>
      </c>
      <c r="Q283" t="b">
        <f t="shared" si="43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36"/>
        <v>EASTERN_EUROPE_NO_REGION</v>
      </c>
      <c r="I284" t="b">
        <f t="shared" si="37"/>
        <v>0</v>
      </c>
      <c r="J284" t="b">
        <f t="shared" si="44"/>
        <v>0</v>
      </c>
      <c r="K284" t="b">
        <f t="shared" si="38"/>
        <v>0</v>
      </c>
      <c r="L284" t="b">
        <f t="shared" si="39"/>
        <v>1</v>
      </c>
      <c r="M284" t="b">
        <f t="shared" si="40"/>
        <v>0</v>
      </c>
      <c r="N284" t="b">
        <f t="shared" si="40"/>
        <v>0</v>
      </c>
      <c r="O284" t="b">
        <f t="shared" si="41"/>
        <v>0</v>
      </c>
      <c r="P284" t="b">
        <f t="shared" si="42"/>
        <v>0</v>
      </c>
      <c r="Q284" t="b">
        <f t="shared" si="43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REGIONTYPE4</v>
      </c>
      <c r="G285" s="31" t="str">
        <f>_xlfn.XLOOKUP($A285,PROPERTIES[VEHIDCODE],PROPERTIES[REGION2])</f>
        <v>NO_REGION</v>
      </c>
      <c r="H285" s="31" t="str">
        <f t="shared" si="36"/>
        <v>REGIONTYPE4_NO_REGION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1</v>
      </c>
      <c r="M285" t="b">
        <f t="shared" si="40"/>
        <v>0</v>
      </c>
      <c r="N285" t="b">
        <f t="shared" si="40"/>
        <v>0</v>
      </c>
      <c r="O285" t="b">
        <f t="shared" si="41"/>
        <v>0</v>
      </c>
      <c r="P285" t="b">
        <f t="shared" si="42"/>
        <v>0</v>
      </c>
      <c r="Q285" t="b">
        <f t="shared" si="43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REGIONTYPE4</v>
      </c>
      <c r="G286" s="31" t="str">
        <f>_xlfn.XLOOKUP($A286,PROPERTIES[VEHIDCODE],PROPERTIES[REGION2])</f>
        <v>NO_REGION</v>
      </c>
      <c r="H286" s="31" t="str">
        <f t="shared" si="36"/>
        <v>REGIONTYPE4_NO_REGION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1</v>
      </c>
      <c r="M286" t="b">
        <f t="shared" si="40"/>
        <v>0</v>
      </c>
      <c r="N286" t="b">
        <f t="shared" si="40"/>
        <v>0</v>
      </c>
      <c r="O286" t="b">
        <f t="shared" si="41"/>
        <v>0</v>
      </c>
      <c r="P286" t="b">
        <f t="shared" si="42"/>
        <v>0</v>
      </c>
      <c r="Q286" t="b">
        <f t="shared" si="43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36"/>
        <v>EASTERN_EUROPE_NO_REGION</v>
      </c>
      <c r="I287" t="b">
        <f t="shared" si="37"/>
        <v>0</v>
      </c>
      <c r="J287" t="b">
        <f t="shared" si="44"/>
        <v>0</v>
      </c>
      <c r="K287" t="b">
        <f t="shared" si="38"/>
        <v>0</v>
      </c>
      <c r="L287" t="b">
        <f t="shared" si="39"/>
        <v>1</v>
      </c>
      <c r="M287" t="b">
        <f t="shared" si="40"/>
        <v>0</v>
      </c>
      <c r="N287" t="b">
        <f t="shared" si="40"/>
        <v>0</v>
      </c>
      <c r="O287" t="b">
        <f t="shared" si="41"/>
        <v>0</v>
      </c>
      <c r="P287" t="b">
        <f t="shared" si="42"/>
        <v>0</v>
      </c>
      <c r="Q287" t="b">
        <f t="shared" si="43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36"/>
        <v>SOUTHERN_EUROPE_NO_REGION</v>
      </c>
      <c r="I288" t="b">
        <f t="shared" si="37"/>
        <v>0</v>
      </c>
      <c r="J288" t="b">
        <f t="shared" si="44"/>
        <v>0</v>
      </c>
      <c r="K288" t="b">
        <f t="shared" si="38"/>
        <v>1</v>
      </c>
      <c r="L288" t="b">
        <f t="shared" si="39"/>
        <v>0</v>
      </c>
      <c r="M288" t="b">
        <f t="shared" si="40"/>
        <v>0</v>
      </c>
      <c r="N288" t="b">
        <f t="shared" si="40"/>
        <v>0</v>
      </c>
      <c r="O288" t="b">
        <f t="shared" si="41"/>
        <v>0</v>
      </c>
      <c r="P288" t="b">
        <f t="shared" si="42"/>
        <v>0</v>
      </c>
      <c r="Q288" t="b">
        <f t="shared" si="43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REGIONTYPE4</v>
      </c>
      <c r="G289" s="31" t="str">
        <f>_xlfn.XLOOKUP($A289,PROPERTIES[VEHIDCODE],PROPERTIES[REGION2])</f>
        <v>NO_REGION</v>
      </c>
      <c r="H289" s="31" t="str">
        <f t="shared" si="36"/>
        <v>REGIONTYPE4_NO_REGION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1</v>
      </c>
      <c r="M289" t="b">
        <f t="shared" si="40"/>
        <v>0</v>
      </c>
      <c r="N289" t="b">
        <f t="shared" si="40"/>
        <v>0</v>
      </c>
      <c r="O289" t="b">
        <f t="shared" si="41"/>
        <v>0</v>
      </c>
      <c r="P289" t="b">
        <f t="shared" si="42"/>
        <v>0</v>
      </c>
      <c r="Q289" t="b">
        <f t="shared" si="43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36"/>
        <v>SOUTHERN_EUROPE_NO_REGION</v>
      </c>
      <c r="I290" t="b">
        <f t="shared" si="37"/>
        <v>0</v>
      </c>
      <c r="J290" t="b">
        <f t="shared" si="44"/>
        <v>0</v>
      </c>
      <c r="K290" t="b">
        <f t="shared" si="38"/>
        <v>1</v>
      </c>
      <c r="L290" t="b">
        <f t="shared" si="39"/>
        <v>0</v>
      </c>
      <c r="M290" t="b">
        <f t="shared" si="40"/>
        <v>0</v>
      </c>
      <c r="N290" t="b">
        <f t="shared" si="40"/>
        <v>0</v>
      </c>
      <c r="O290" t="b">
        <f t="shared" si="41"/>
        <v>0</v>
      </c>
      <c r="P290" t="b">
        <f t="shared" si="42"/>
        <v>0</v>
      </c>
      <c r="Q290" t="b">
        <f t="shared" si="43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36"/>
        <v>WESTERN_EUROPE_NO_REGION</v>
      </c>
      <c r="I291" t="b">
        <f t="shared" si="37"/>
        <v>0</v>
      </c>
      <c r="J291" t="b">
        <f t="shared" si="44"/>
        <v>0</v>
      </c>
      <c r="K291" t="b">
        <f t="shared" si="38"/>
        <v>0</v>
      </c>
      <c r="L291" t="b">
        <f t="shared" si="39"/>
        <v>0</v>
      </c>
      <c r="M291" t="b">
        <f t="shared" si="40"/>
        <v>1</v>
      </c>
      <c r="N291" t="b">
        <f t="shared" si="40"/>
        <v>0</v>
      </c>
      <c r="O291" t="b">
        <f t="shared" si="41"/>
        <v>0</v>
      </c>
      <c r="P291" t="b">
        <f t="shared" si="42"/>
        <v>0</v>
      </c>
      <c r="Q291" t="b">
        <f t="shared" si="43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36"/>
        <v>WESTERN_EUROPE_EASTERN_EUROPE</v>
      </c>
      <c r="I292" t="b">
        <f t="shared" si="37"/>
        <v>0</v>
      </c>
      <c r="J292" t="b">
        <f t="shared" si="44"/>
        <v>0</v>
      </c>
      <c r="K292" t="b">
        <f t="shared" si="38"/>
        <v>0</v>
      </c>
      <c r="L292" t="b">
        <f t="shared" si="39"/>
        <v>1</v>
      </c>
      <c r="M292" t="b">
        <f t="shared" si="40"/>
        <v>1</v>
      </c>
      <c r="N292" t="b">
        <f t="shared" si="40"/>
        <v>0</v>
      </c>
      <c r="O292" t="b">
        <f t="shared" si="41"/>
        <v>0</v>
      </c>
      <c r="P292" t="b">
        <f t="shared" si="42"/>
        <v>0</v>
      </c>
      <c r="Q292" t="b">
        <f t="shared" si="43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36"/>
        <v>AFRICA_NO_REGION</v>
      </c>
      <c r="I293" t="b">
        <f t="shared" si="37"/>
        <v>1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0"/>
        <v>0</v>
      </c>
      <c r="O293" t="b">
        <f t="shared" si="41"/>
        <v>0</v>
      </c>
      <c r="P293" t="b">
        <f t="shared" si="42"/>
        <v>0</v>
      </c>
      <c r="Q293" t="b">
        <f t="shared" si="43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36"/>
        <v>AFRICA_NO_REGION</v>
      </c>
      <c r="I294" t="b">
        <f t="shared" si="37"/>
        <v>1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0"/>
        <v>0</v>
      </c>
      <c r="O294" t="b">
        <f t="shared" si="41"/>
        <v>0</v>
      </c>
      <c r="P294" t="b">
        <f t="shared" si="42"/>
        <v>0</v>
      </c>
      <c r="Q294" t="b">
        <f t="shared" si="43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36"/>
        <v>SOUTHERN_EUROPE_NO_REGION</v>
      </c>
      <c r="I295" t="b">
        <f t="shared" si="37"/>
        <v>0</v>
      </c>
      <c r="J295" t="b">
        <f t="shared" si="44"/>
        <v>0</v>
      </c>
      <c r="K295" t="b">
        <f t="shared" si="38"/>
        <v>1</v>
      </c>
      <c r="L295" t="b">
        <f t="shared" si="39"/>
        <v>0</v>
      </c>
      <c r="M295" t="b">
        <f t="shared" si="40"/>
        <v>0</v>
      </c>
      <c r="N295" t="b">
        <f t="shared" si="40"/>
        <v>0</v>
      </c>
      <c r="O295" t="b">
        <f t="shared" si="41"/>
        <v>0</v>
      </c>
      <c r="P295" t="b">
        <f t="shared" si="42"/>
        <v>0</v>
      </c>
      <c r="Q295" t="b">
        <f t="shared" si="43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36"/>
        <v>OCEANIA_NO_REGION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0"/>
        <v>0</v>
      </c>
      <c r="O296" t="b">
        <f t="shared" si="41"/>
        <v>0</v>
      </c>
      <c r="P296" t="b">
        <f t="shared" si="42"/>
        <v>0</v>
      </c>
      <c r="Q296" t="b">
        <f t="shared" si="43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36"/>
        <v>NORTHERN_EUROPE_NO_REGION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0</v>
      </c>
      <c r="M297" t="b">
        <f t="shared" si="40"/>
        <v>0</v>
      </c>
      <c r="N297" t="b">
        <f t="shared" si="40"/>
        <v>1</v>
      </c>
      <c r="O297" t="b">
        <f t="shared" si="41"/>
        <v>0</v>
      </c>
      <c r="P297" t="b">
        <f t="shared" si="42"/>
        <v>0</v>
      </c>
      <c r="Q297" t="b">
        <f t="shared" si="43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36"/>
        <v>OCEANIA_NO_REGION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0"/>
        <v>0</v>
      </c>
      <c r="O298" t="b">
        <f t="shared" si="41"/>
        <v>0</v>
      </c>
      <c r="P298" t="b">
        <f t="shared" si="42"/>
        <v>0</v>
      </c>
      <c r="Q298" t="b">
        <f t="shared" si="43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36"/>
        <v>NORTHERN_EUROPE_NO_REGION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0</v>
      </c>
      <c r="M299" t="b">
        <f t="shared" si="40"/>
        <v>0</v>
      </c>
      <c r="N299" t="b">
        <f t="shared" si="40"/>
        <v>1</v>
      </c>
      <c r="O299" t="b">
        <f t="shared" si="41"/>
        <v>0</v>
      </c>
      <c r="P299" t="b">
        <f t="shared" si="42"/>
        <v>0</v>
      </c>
      <c r="Q299" t="b">
        <f t="shared" si="43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36"/>
        <v>NORTH_AMERICA_NO_REGION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0</v>
      </c>
      <c r="N300" t="b">
        <f t="shared" si="40"/>
        <v>0</v>
      </c>
      <c r="O300" t="b">
        <f t="shared" si="41"/>
        <v>1</v>
      </c>
      <c r="P300" t="b">
        <f t="shared" si="42"/>
        <v>0</v>
      </c>
      <c r="Q300" t="b">
        <f t="shared" si="43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36"/>
        <v>SOUTH_AMERICA_NO_REGION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0"/>
        <v>0</v>
      </c>
      <c r="O301" t="b">
        <f t="shared" si="41"/>
        <v>0</v>
      </c>
      <c r="P301" t="b">
        <f t="shared" si="42"/>
        <v>1</v>
      </c>
      <c r="Q301" t="b">
        <f t="shared" si="43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36"/>
        <v>NORTH_AMERICA_NO_REGION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0</v>
      </c>
      <c r="N302" t="b">
        <f t="shared" si="40"/>
        <v>0</v>
      </c>
      <c r="O302" t="b">
        <f t="shared" si="41"/>
        <v>1</v>
      </c>
      <c r="P302" t="b">
        <f t="shared" si="42"/>
        <v>0</v>
      </c>
      <c r="Q302" t="b">
        <f t="shared" si="43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36"/>
        <v>WESTERN_EUROPE_NO_REGION</v>
      </c>
      <c r="I303" t="b">
        <f t="shared" si="37"/>
        <v>0</v>
      </c>
      <c r="J303" t="b">
        <f t="shared" si="44"/>
        <v>0</v>
      </c>
      <c r="K303" t="b">
        <f t="shared" si="38"/>
        <v>0</v>
      </c>
      <c r="L303" t="b">
        <f t="shared" si="39"/>
        <v>0</v>
      </c>
      <c r="M303" t="b">
        <f t="shared" si="40"/>
        <v>1</v>
      </c>
      <c r="N303" t="b">
        <f t="shared" si="40"/>
        <v>0</v>
      </c>
      <c r="O303" t="b">
        <f t="shared" si="41"/>
        <v>0</v>
      </c>
      <c r="P303" t="b">
        <f t="shared" si="42"/>
        <v>0</v>
      </c>
      <c r="Q303" t="b">
        <f t="shared" si="43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36"/>
        <v>WESTERN_EUROPE_NO_REGION</v>
      </c>
      <c r="I304" t="b">
        <f t="shared" si="37"/>
        <v>0</v>
      </c>
      <c r="J304" t="b">
        <f t="shared" si="44"/>
        <v>0</v>
      </c>
      <c r="K304" t="b">
        <f t="shared" si="38"/>
        <v>0</v>
      </c>
      <c r="L304" t="b">
        <f t="shared" si="39"/>
        <v>0</v>
      </c>
      <c r="M304" t="b">
        <f t="shared" si="40"/>
        <v>1</v>
      </c>
      <c r="N304" t="b">
        <f t="shared" si="40"/>
        <v>0</v>
      </c>
      <c r="O304" t="b">
        <f t="shared" si="41"/>
        <v>0</v>
      </c>
      <c r="P304" t="b">
        <f t="shared" si="42"/>
        <v>0</v>
      </c>
      <c r="Q304" t="b">
        <f t="shared" si="43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36"/>
        <v>SOUTHERN_EUROPE_NO_REGION</v>
      </c>
      <c r="I305" t="b">
        <f t="shared" si="37"/>
        <v>0</v>
      </c>
      <c r="J305" t="b">
        <f t="shared" si="44"/>
        <v>0</v>
      </c>
      <c r="K305" t="b">
        <f t="shared" si="38"/>
        <v>1</v>
      </c>
      <c r="L305" t="b">
        <f t="shared" si="39"/>
        <v>0</v>
      </c>
      <c r="M305" t="b">
        <f t="shared" si="40"/>
        <v>0</v>
      </c>
      <c r="N305" t="b">
        <f t="shared" si="40"/>
        <v>0</v>
      </c>
      <c r="O305" t="b">
        <f t="shared" si="41"/>
        <v>0</v>
      </c>
      <c r="P305" t="b">
        <f t="shared" si="42"/>
        <v>0</v>
      </c>
      <c r="Q305" t="b">
        <f t="shared" si="43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36"/>
        <v>EASTERN_EUROPE_NO_REGION</v>
      </c>
      <c r="I306" t="b">
        <f t="shared" si="37"/>
        <v>0</v>
      </c>
      <c r="J306" t="b">
        <f t="shared" si="44"/>
        <v>0</v>
      </c>
      <c r="K306" t="b">
        <f t="shared" si="38"/>
        <v>0</v>
      </c>
      <c r="L306" t="b">
        <f t="shared" si="39"/>
        <v>1</v>
      </c>
      <c r="M306" t="b">
        <f t="shared" si="40"/>
        <v>0</v>
      </c>
      <c r="N306" t="b">
        <f t="shared" si="40"/>
        <v>0</v>
      </c>
      <c r="O306" t="b">
        <f t="shared" si="41"/>
        <v>0</v>
      </c>
      <c r="P306" t="b">
        <f t="shared" si="42"/>
        <v>0</v>
      </c>
      <c r="Q306" t="b">
        <f t="shared" si="43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36"/>
        <v>NORTHERN_EUROPE_NO_REGION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0</v>
      </c>
      <c r="M307" t="b">
        <f t="shared" si="40"/>
        <v>0</v>
      </c>
      <c r="N307" t="b">
        <f t="shared" si="40"/>
        <v>1</v>
      </c>
      <c r="O307" t="b">
        <f t="shared" si="41"/>
        <v>0</v>
      </c>
      <c r="P307" t="b">
        <f t="shared" si="42"/>
        <v>0</v>
      </c>
      <c r="Q307" t="b">
        <f t="shared" si="43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36"/>
        <v>NORTH_AMERICA_NO_REGION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0</v>
      </c>
      <c r="N308" t="b">
        <f t="shared" si="40"/>
        <v>0</v>
      </c>
      <c r="O308" t="b">
        <f t="shared" si="41"/>
        <v>1</v>
      </c>
      <c r="P308" t="b">
        <f t="shared" si="42"/>
        <v>0</v>
      </c>
      <c r="Q308" t="b">
        <f t="shared" si="43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36"/>
        <v>WESTERN_EUROPE_NO_REGION</v>
      </c>
      <c r="I309" t="b">
        <f t="shared" si="37"/>
        <v>0</v>
      </c>
      <c r="J309" t="b">
        <f t="shared" si="44"/>
        <v>0</v>
      </c>
      <c r="K309" t="b">
        <f t="shared" si="38"/>
        <v>0</v>
      </c>
      <c r="L309" t="b">
        <f t="shared" si="39"/>
        <v>0</v>
      </c>
      <c r="M309" t="b">
        <f t="shared" si="40"/>
        <v>1</v>
      </c>
      <c r="N309" t="b">
        <f t="shared" si="40"/>
        <v>0</v>
      </c>
      <c r="O309" t="b">
        <f t="shared" si="41"/>
        <v>0</v>
      </c>
      <c r="P309" t="b">
        <f t="shared" si="42"/>
        <v>0</v>
      </c>
      <c r="Q309" t="b">
        <f t="shared" si="43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36"/>
        <v>NORTH_AMERICA_NO_REGION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0</v>
      </c>
      <c r="N310" t="b">
        <f t="shared" si="40"/>
        <v>0</v>
      </c>
      <c r="O310" t="b">
        <f t="shared" si="41"/>
        <v>1</v>
      </c>
      <c r="P310" t="b">
        <f t="shared" si="42"/>
        <v>0</v>
      </c>
      <c r="Q310" t="b">
        <f t="shared" si="43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36"/>
        <v>WESTERN_EUROPE_NO_REGION</v>
      </c>
      <c r="I311" t="b">
        <f t="shared" si="37"/>
        <v>0</v>
      </c>
      <c r="J311" t="b">
        <f t="shared" si="44"/>
        <v>0</v>
      </c>
      <c r="K311" t="b">
        <f t="shared" si="38"/>
        <v>0</v>
      </c>
      <c r="L311" t="b">
        <f t="shared" si="39"/>
        <v>0</v>
      </c>
      <c r="M311" t="b">
        <f t="shared" si="40"/>
        <v>1</v>
      </c>
      <c r="N311" t="b">
        <f t="shared" si="40"/>
        <v>0</v>
      </c>
      <c r="O311" t="b">
        <f t="shared" si="41"/>
        <v>0</v>
      </c>
      <c r="P311" t="b">
        <f t="shared" si="42"/>
        <v>0</v>
      </c>
      <c r="Q311" t="b">
        <f t="shared" si="43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36"/>
        <v>NORTHERN_EUROPE_NO_REGION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0</v>
      </c>
      <c r="M312" t="b">
        <f t="shared" si="40"/>
        <v>0</v>
      </c>
      <c r="N312" t="b">
        <f t="shared" si="40"/>
        <v>1</v>
      </c>
      <c r="O312" t="b">
        <f t="shared" si="41"/>
        <v>0</v>
      </c>
      <c r="P312" t="b">
        <f t="shared" si="42"/>
        <v>0</v>
      </c>
      <c r="Q312" t="b">
        <f t="shared" si="43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36"/>
        <v>ASIA_NO_REGION</v>
      </c>
      <c r="I313" t="b">
        <f t="shared" si="37"/>
        <v>0</v>
      </c>
      <c r="J313" t="b">
        <f t="shared" si="44"/>
        <v>1</v>
      </c>
      <c r="K313" t="b">
        <f t="shared" si="38"/>
        <v>0</v>
      </c>
      <c r="L313" t="b">
        <f t="shared" si="39"/>
        <v>0</v>
      </c>
      <c r="M313" t="b">
        <f t="shared" si="40"/>
        <v>0</v>
      </c>
      <c r="N313" t="b">
        <f t="shared" si="40"/>
        <v>0</v>
      </c>
      <c r="O313" t="b">
        <f t="shared" si="41"/>
        <v>0</v>
      </c>
      <c r="P313" t="b">
        <f t="shared" si="42"/>
        <v>0</v>
      </c>
      <c r="Q313" t="b">
        <f t="shared" si="43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36"/>
        <v>NORTHERN_EUROPE_NO_REGION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0</v>
      </c>
      <c r="M314" t="b">
        <f t="shared" si="40"/>
        <v>0</v>
      </c>
      <c r="N314" t="b">
        <f t="shared" si="40"/>
        <v>1</v>
      </c>
      <c r="O314" t="b">
        <f t="shared" si="41"/>
        <v>0</v>
      </c>
      <c r="P314" t="b">
        <f t="shared" si="42"/>
        <v>0</v>
      </c>
      <c r="Q314" t="b">
        <f t="shared" si="43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36"/>
        <v>SOUTH_AMERICA_NO_REGION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0"/>
        <v>0</v>
      </c>
      <c r="O315" t="b">
        <f t="shared" si="41"/>
        <v>0</v>
      </c>
      <c r="P315" t="b">
        <f t="shared" si="42"/>
        <v>1</v>
      </c>
      <c r="Q315" t="b">
        <f t="shared" si="43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REGIONTYPE4</v>
      </c>
      <c r="G316" s="31" t="str">
        <f>_xlfn.XLOOKUP($A316,PROPERTIES[VEHIDCODE],PROPERTIES[REGION2])</f>
        <v>NO_REGION</v>
      </c>
      <c r="H316" s="31" t="str">
        <f t="shared" si="36"/>
        <v>REGIONTYPE4_NO_REGION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1</v>
      </c>
      <c r="M316" t="b">
        <f t="shared" si="40"/>
        <v>0</v>
      </c>
      <c r="N316" t="b">
        <f t="shared" si="40"/>
        <v>0</v>
      </c>
      <c r="O316" t="b">
        <f t="shared" si="41"/>
        <v>0</v>
      </c>
      <c r="P316" t="b">
        <f t="shared" si="42"/>
        <v>0</v>
      </c>
      <c r="Q316" t="b">
        <f t="shared" si="43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36"/>
        <v>ASIA_NO_REGION</v>
      </c>
      <c r="I317" t="b">
        <f t="shared" si="37"/>
        <v>0</v>
      </c>
      <c r="J317" t="b">
        <f t="shared" si="44"/>
        <v>1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0"/>
        <v>0</v>
      </c>
      <c r="O317" t="b">
        <f t="shared" si="41"/>
        <v>0</v>
      </c>
      <c r="P317" t="b">
        <f t="shared" si="42"/>
        <v>0</v>
      </c>
      <c r="Q317" t="b">
        <f t="shared" si="43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36"/>
        <v>AFRICA_NO_REGION</v>
      </c>
      <c r="I318" t="b">
        <f t="shared" si="37"/>
        <v>1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0"/>
        <v>0</v>
      </c>
      <c r="O318" t="b">
        <f t="shared" si="41"/>
        <v>0</v>
      </c>
      <c r="P318" t="b">
        <f t="shared" si="42"/>
        <v>0</v>
      </c>
      <c r="Q318" t="b">
        <f t="shared" si="43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36"/>
        <v>NORTHERN_EUROPE_NO_REGION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0</v>
      </c>
      <c r="M319" t="b">
        <f t="shared" si="40"/>
        <v>0</v>
      </c>
      <c r="N319" t="b">
        <f t="shared" si="40"/>
        <v>1</v>
      </c>
      <c r="O319" t="b">
        <f t="shared" si="41"/>
        <v>0</v>
      </c>
      <c r="P319" t="b">
        <f t="shared" si="42"/>
        <v>0</v>
      </c>
      <c r="Q319" t="b">
        <f t="shared" si="43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36"/>
        <v>ASIA_NO_REGION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0"/>
        <v>0</v>
      </c>
      <c r="O320" t="b">
        <f t="shared" si="41"/>
        <v>0</v>
      </c>
      <c r="P320" t="b">
        <f t="shared" si="42"/>
        <v>0</v>
      </c>
      <c r="Q320" t="b">
        <f t="shared" si="43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36"/>
        <v>NORTH_AMERICA_NO_REGION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0</v>
      </c>
      <c r="N321" t="b">
        <f t="shared" si="40"/>
        <v>0</v>
      </c>
      <c r="O321" t="b">
        <f t="shared" si="41"/>
        <v>1</v>
      </c>
      <c r="P321" t="b">
        <f t="shared" si="42"/>
        <v>0</v>
      </c>
      <c r="Q321" t="b">
        <f t="shared" si="43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36"/>
        <v>NORTH_AMERICA_NO_REGION</v>
      </c>
      <c r="I322" t="b">
        <f t="shared" si="37"/>
        <v>0</v>
      </c>
      <c r="J322" t="b">
        <f t="shared" si="44"/>
        <v>0</v>
      </c>
      <c r="K322" t="b">
        <f t="shared" si="38"/>
        <v>0</v>
      </c>
      <c r="L322" t="b">
        <f t="shared" si="39"/>
        <v>0</v>
      </c>
      <c r="M322" t="b">
        <f t="shared" si="40"/>
        <v>0</v>
      </c>
      <c r="N322" t="b">
        <f t="shared" si="40"/>
        <v>0</v>
      </c>
      <c r="O322" t="b">
        <f t="shared" si="41"/>
        <v>1</v>
      </c>
      <c r="P322" t="b">
        <f t="shared" si="42"/>
        <v>0</v>
      </c>
      <c r="Q322" t="b">
        <f t="shared" si="43"/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45">_xlfn.CONCAT($F323,"_",$G323)</f>
        <v>ASIA_NO_REGION</v>
      </c>
      <c r="I323" t="b">
        <f t="shared" ref="I323:I386" si="46">OR(ISNUMBER(SEARCH("ALL_REGION",$H323)),
ISNUMBER(SEARCH("AFRICA",$H323)),
ISNUMBER(SEARCH("REGIONTYPE1",$H323)),
ISNUMBER(SEARCH("REGIONTYPE2",$H323)))</f>
        <v>0</v>
      </c>
      <c r="J323" t="b">
        <f t="shared" si="44"/>
        <v>1</v>
      </c>
      <c r="K323" t="b">
        <f t="shared" ref="K323:K386" si="47">OR(ISNUMBER(SEARCH("ALL_REGION",$H323)),
ISNUMBER(SEARCH("ALL_EUROPE",$H323)),
ISNUMBER(SEARCH(K$1,$H323)),
ISNUMBER(SEARCH("REGIONTYPE1",$H323)))</f>
        <v>0</v>
      </c>
      <c r="L323" t="b">
        <f t="shared" ref="L323:L386" si="48">OR(ISNUMBER(SEARCH("ALL_REGION",$H323)),
ISNUMBER(SEARCH("ALL_EUROPE",$H323)),
ISNUMBER(SEARCH(L$1,$H323)),
ISNUMBER(SEARCH("REGIONTYPE1",$H323)),
ISNUMBER(SEARCH("REGIONTYPE4",$H323)),
ISNUMBER(SEARCH("REGIONTYPE5",$H323)))</f>
        <v>0</v>
      </c>
      <c r="M323" t="b">
        <f t="shared" ref="M323:N386" si="49">OR(ISNUMBER(SEARCH("ALL_REGION",$H323)),
ISNUMBER(SEARCH("ALL_EUROPE",$H323)),
ISNUMBER(SEARCH(M$1,$H323)),
ISNUMBER(SEARCH("REGIONTYPE1",$H323)),
ISNUMBER(SEARCH("REGIONTYPE6",$H323)))</f>
        <v>0</v>
      </c>
      <c r="N323" t="b">
        <f t="shared" si="49"/>
        <v>0</v>
      </c>
      <c r="O323" t="b">
        <f t="shared" ref="O323:O386" si="50">OR(ISNUMBER(SEARCH("ALL_REGION",$H323)),
ISNUMBER(SEARCH("ALL_AMERICA",$H323)),
ISNUMBER(SEARCH(O$1,$H323)),
ISNUMBER(SEARCH("REGIONTYPE2",$H323)))</f>
        <v>0</v>
      </c>
      <c r="P323" t="b">
        <f t="shared" ref="P323:P386" si="51">OR(ISNUMBER(SEARCH("ALL_REGION",$H323)),
ISNUMBER(SEARCH("ALL_AMERICA",$H323)),
ISNUMBER(SEARCH(P$1,$H323)),
ISNUMBER(SEARCH("REGIONTYPE2",$H323)),
ISNUMBER(SEARCH("REGIONTYPE5",$H323)))</f>
        <v>0</v>
      </c>
      <c r="Q323" t="b">
        <f t="shared" ref="Q323:Q386" si="52">OR(ISNUMBER(SEARCH("ALL_REGION",$H323)),
ISNUMBER(SEARCH(Q$1,$H323)),
ISNUMBER(SEARCH("REGIONTYPE3",$H323)))</f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45"/>
        <v>WESTERN_EUROPE_NO_REGION</v>
      </c>
      <c r="I324" t="b">
        <f t="shared" si="46"/>
        <v>0</v>
      </c>
      <c r="J324" t="b">
        <f t="shared" ref="J324:J387" si="53">OR(ISNUMBER(SEARCH("ALL_REGION",$H324)),
ISNUMBER(SEARCH("ASIA",$H324)),
ISNUMBER(SEARCH("REGIONTYPE1",$H324)),
ISNUMBER(SEARCH("REGIONTYPE2",$H324)),
ISNUMBER(SEARCH("REGIONTYPE3",$H324)),
ISNUMBER(SEARCH("REGIONTYPE4",$H324)))</f>
        <v>0</v>
      </c>
      <c r="K324" t="b">
        <f t="shared" si="47"/>
        <v>0</v>
      </c>
      <c r="L324" t="b">
        <f t="shared" si="48"/>
        <v>0</v>
      </c>
      <c r="M324" t="b">
        <f t="shared" si="49"/>
        <v>1</v>
      </c>
      <c r="N324" t="b">
        <f t="shared" si="49"/>
        <v>0</v>
      </c>
      <c r="O324" t="b">
        <f t="shared" si="50"/>
        <v>0</v>
      </c>
      <c r="P324" t="b">
        <f t="shared" si="51"/>
        <v>0</v>
      </c>
      <c r="Q324" t="b">
        <f t="shared" si="52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45"/>
        <v>WESTERN_EUROPE_NO_REGION</v>
      </c>
      <c r="I325" t="b">
        <f t="shared" si="46"/>
        <v>0</v>
      </c>
      <c r="J325" t="b">
        <f t="shared" si="53"/>
        <v>0</v>
      </c>
      <c r="K325" t="b">
        <f t="shared" si="47"/>
        <v>0</v>
      </c>
      <c r="L325" t="b">
        <f t="shared" si="48"/>
        <v>0</v>
      </c>
      <c r="M325" t="b">
        <f t="shared" si="49"/>
        <v>1</v>
      </c>
      <c r="N325" t="b">
        <f t="shared" si="49"/>
        <v>0</v>
      </c>
      <c r="O325" t="b">
        <f t="shared" si="50"/>
        <v>0</v>
      </c>
      <c r="P325" t="b">
        <f t="shared" si="51"/>
        <v>0</v>
      </c>
      <c r="Q325" t="b">
        <f t="shared" si="52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45"/>
        <v>ASIA_NO_REGION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49"/>
        <v>0</v>
      </c>
      <c r="O326" t="b">
        <f t="shared" si="50"/>
        <v>0</v>
      </c>
      <c r="P326" t="b">
        <f t="shared" si="51"/>
        <v>0</v>
      </c>
      <c r="Q326" t="b">
        <f t="shared" si="52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45"/>
        <v>ASIA_NO_REGION</v>
      </c>
      <c r="I327" t="b">
        <f t="shared" si="46"/>
        <v>0</v>
      </c>
      <c r="J327" t="b">
        <f t="shared" si="53"/>
        <v>1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49"/>
        <v>0</v>
      </c>
      <c r="O327" t="b">
        <f t="shared" si="50"/>
        <v>0</v>
      </c>
      <c r="P327" t="b">
        <f t="shared" si="51"/>
        <v>0</v>
      </c>
      <c r="Q327" t="b">
        <f t="shared" si="52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45"/>
        <v>NORTHERN_EUROPE_NO_REGION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0</v>
      </c>
      <c r="M328" t="b">
        <f t="shared" si="49"/>
        <v>0</v>
      </c>
      <c r="N328" t="b">
        <f t="shared" si="49"/>
        <v>1</v>
      </c>
      <c r="O328" t="b">
        <f t="shared" si="50"/>
        <v>0</v>
      </c>
      <c r="P328" t="b">
        <f t="shared" si="51"/>
        <v>0</v>
      </c>
      <c r="Q328" t="b">
        <f t="shared" si="52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45"/>
        <v>ASIA_NO_REGION</v>
      </c>
      <c r="I329" t="b">
        <f t="shared" si="46"/>
        <v>0</v>
      </c>
      <c r="J329" t="b">
        <f t="shared" si="53"/>
        <v>1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49"/>
        <v>0</v>
      </c>
      <c r="O329" t="b">
        <f t="shared" si="50"/>
        <v>0</v>
      </c>
      <c r="P329" t="b">
        <f t="shared" si="51"/>
        <v>0</v>
      </c>
      <c r="Q329" t="b">
        <f t="shared" si="52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45"/>
        <v>ASIA_NO_REGION</v>
      </c>
      <c r="I330" t="b">
        <f t="shared" si="46"/>
        <v>0</v>
      </c>
      <c r="J330" t="b">
        <f t="shared" si="53"/>
        <v>1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49"/>
        <v>0</v>
      </c>
      <c r="O330" t="b">
        <f t="shared" si="50"/>
        <v>0</v>
      </c>
      <c r="P330" t="b">
        <f t="shared" si="51"/>
        <v>0</v>
      </c>
      <c r="Q330" t="b">
        <f t="shared" si="52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45"/>
        <v>NORTH_AMERICA_NO_REGION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0</v>
      </c>
      <c r="N331" t="b">
        <f t="shared" si="49"/>
        <v>0</v>
      </c>
      <c r="O331" t="b">
        <f t="shared" si="50"/>
        <v>1</v>
      </c>
      <c r="P331" t="b">
        <f t="shared" si="51"/>
        <v>0</v>
      </c>
      <c r="Q331" t="b">
        <f t="shared" si="52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45"/>
        <v>SOUTHERN_EUROPE_NO_REGION</v>
      </c>
      <c r="I332" t="b">
        <f t="shared" si="46"/>
        <v>0</v>
      </c>
      <c r="J332" t="b">
        <f t="shared" si="53"/>
        <v>0</v>
      </c>
      <c r="K332" t="b">
        <f t="shared" si="47"/>
        <v>1</v>
      </c>
      <c r="L332" t="b">
        <f t="shared" si="48"/>
        <v>0</v>
      </c>
      <c r="M332" t="b">
        <f t="shared" si="49"/>
        <v>0</v>
      </c>
      <c r="N332" t="b">
        <f t="shared" si="49"/>
        <v>0</v>
      </c>
      <c r="O332" t="b">
        <f t="shared" si="50"/>
        <v>0</v>
      </c>
      <c r="P332" t="b">
        <f t="shared" si="51"/>
        <v>0</v>
      </c>
      <c r="Q332" t="b">
        <f t="shared" si="52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45"/>
        <v>WESTERN_EUROPE_NO_REGION</v>
      </c>
      <c r="I333" t="b">
        <f t="shared" si="46"/>
        <v>0</v>
      </c>
      <c r="J333" t="b">
        <f t="shared" si="53"/>
        <v>0</v>
      </c>
      <c r="K333" t="b">
        <f t="shared" si="47"/>
        <v>0</v>
      </c>
      <c r="L333" t="b">
        <f t="shared" si="48"/>
        <v>0</v>
      </c>
      <c r="M333" t="b">
        <f t="shared" si="49"/>
        <v>1</v>
      </c>
      <c r="N333" t="b">
        <f t="shared" si="49"/>
        <v>0</v>
      </c>
      <c r="O333" t="b">
        <f t="shared" si="50"/>
        <v>0</v>
      </c>
      <c r="P333" t="b">
        <f t="shared" si="51"/>
        <v>0</v>
      </c>
      <c r="Q333" t="b">
        <f t="shared" si="52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45"/>
        <v>NORTH_AMERICA_NO_REGION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0</v>
      </c>
      <c r="N334" t="b">
        <f t="shared" si="49"/>
        <v>0</v>
      </c>
      <c r="O334" t="b">
        <f t="shared" si="50"/>
        <v>1</v>
      </c>
      <c r="P334" t="b">
        <f t="shared" si="51"/>
        <v>0</v>
      </c>
      <c r="Q334" t="b">
        <f t="shared" si="52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45"/>
        <v>ASIA_NO_REGION</v>
      </c>
      <c r="I335" t="b">
        <f t="shared" si="46"/>
        <v>0</v>
      </c>
      <c r="J335" t="b">
        <f t="shared" si="53"/>
        <v>1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49"/>
        <v>0</v>
      </c>
      <c r="O335" t="b">
        <f t="shared" si="50"/>
        <v>0</v>
      </c>
      <c r="P335" t="b">
        <f t="shared" si="51"/>
        <v>0</v>
      </c>
      <c r="Q335" t="b">
        <f t="shared" si="52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REGIONTYPE4</v>
      </c>
      <c r="G336" s="31" t="str">
        <f>_xlfn.XLOOKUP($A336,PROPERTIES[VEHIDCODE],PROPERTIES[REGION2])</f>
        <v>NO_REGION</v>
      </c>
      <c r="H336" s="31" t="str">
        <f t="shared" si="45"/>
        <v>REGIONTYPE4_NO_REGION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1</v>
      </c>
      <c r="M336" t="b">
        <f t="shared" si="49"/>
        <v>0</v>
      </c>
      <c r="N336" t="b">
        <f t="shared" si="49"/>
        <v>0</v>
      </c>
      <c r="O336" t="b">
        <f t="shared" si="50"/>
        <v>0</v>
      </c>
      <c r="P336" t="b">
        <f t="shared" si="51"/>
        <v>0</v>
      </c>
      <c r="Q336" t="b">
        <f t="shared" si="52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45"/>
        <v>NORTH_AMERICA_NO_REGION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0</v>
      </c>
      <c r="N337" t="b">
        <f t="shared" si="49"/>
        <v>0</v>
      </c>
      <c r="O337" t="b">
        <f t="shared" si="50"/>
        <v>1</v>
      </c>
      <c r="P337" t="b">
        <f t="shared" si="51"/>
        <v>0</v>
      </c>
      <c r="Q337" t="b">
        <f t="shared" si="52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45"/>
        <v>SOUTHERN_EUROPE_NO_REGION</v>
      </c>
      <c r="I338" t="b">
        <f t="shared" si="46"/>
        <v>0</v>
      </c>
      <c r="J338" t="b">
        <f t="shared" si="53"/>
        <v>0</v>
      </c>
      <c r="K338" t="b">
        <f t="shared" si="47"/>
        <v>1</v>
      </c>
      <c r="L338" t="b">
        <f t="shared" si="48"/>
        <v>0</v>
      </c>
      <c r="M338" t="b">
        <f t="shared" si="49"/>
        <v>0</v>
      </c>
      <c r="N338" t="b">
        <f t="shared" si="49"/>
        <v>0</v>
      </c>
      <c r="O338" t="b">
        <f t="shared" si="50"/>
        <v>0</v>
      </c>
      <c r="P338" t="b">
        <f t="shared" si="51"/>
        <v>0</v>
      </c>
      <c r="Q338" t="b">
        <f t="shared" si="52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REGIONTYPE4</v>
      </c>
      <c r="G339" s="31" t="str">
        <f>_xlfn.XLOOKUP($A339,PROPERTIES[VEHIDCODE],PROPERTIES[REGION2])</f>
        <v>NO_REGION</v>
      </c>
      <c r="H339" s="31" t="str">
        <f t="shared" si="45"/>
        <v>REGIONTYPE4_NO_REGION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1</v>
      </c>
      <c r="M339" t="b">
        <f t="shared" si="49"/>
        <v>0</v>
      </c>
      <c r="N339" t="b">
        <f t="shared" si="49"/>
        <v>0</v>
      </c>
      <c r="O339" t="b">
        <f t="shared" si="50"/>
        <v>0</v>
      </c>
      <c r="P339" t="b">
        <f t="shared" si="51"/>
        <v>0</v>
      </c>
      <c r="Q339" t="b">
        <f t="shared" si="52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45"/>
        <v>WESTERN_EUROPE_NO_REGION</v>
      </c>
      <c r="I340" t="b">
        <f t="shared" si="46"/>
        <v>0</v>
      </c>
      <c r="J340" t="b">
        <f t="shared" si="53"/>
        <v>0</v>
      </c>
      <c r="K340" t="b">
        <f t="shared" si="47"/>
        <v>0</v>
      </c>
      <c r="L340" t="b">
        <f t="shared" si="48"/>
        <v>0</v>
      </c>
      <c r="M340" t="b">
        <f t="shared" si="49"/>
        <v>1</v>
      </c>
      <c r="N340" t="b">
        <f t="shared" si="49"/>
        <v>0</v>
      </c>
      <c r="O340" t="b">
        <f t="shared" si="50"/>
        <v>0</v>
      </c>
      <c r="P340" t="b">
        <f t="shared" si="51"/>
        <v>0</v>
      </c>
      <c r="Q340" t="b">
        <f t="shared" si="52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45"/>
        <v>EASTERN_EUROPE_NO_REGION</v>
      </c>
      <c r="I341" t="b">
        <f t="shared" si="46"/>
        <v>0</v>
      </c>
      <c r="J341" t="b">
        <f t="shared" si="53"/>
        <v>0</v>
      </c>
      <c r="K341" t="b">
        <f t="shared" si="47"/>
        <v>0</v>
      </c>
      <c r="L341" t="b">
        <f t="shared" si="48"/>
        <v>1</v>
      </c>
      <c r="M341" t="b">
        <f t="shared" si="49"/>
        <v>0</v>
      </c>
      <c r="N341" t="b">
        <f t="shared" si="49"/>
        <v>0</v>
      </c>
      <c r="O341" t="b">
        <f t="shared" si="50"/>
        <v>0</v>
      </c>
      <c r="P341" t="b">
        <f t="shared" si="51"/>
        <v>0</v>
      </c>
      <c r="Q341" t="b">
        <f t="shared" si="52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45"/>
        <v>SOUTH_AMERICA_NO_REGION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49"/>
        <v>0</v>
      </c>
      <c r="O342" t="b">
        <f t="shared" si="50"/>
        <v>0</v>
      </c>
      <c r="P342" t="b">
        <f t="shared" si="51"/>
        <v>1</v>
      </c>
      <c r="Q342" t="b">
        <f t="shared" si="52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45"/>
        <v>SOUTH_AMERICA_NO_REGION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49"/>
        <v>0</v>
      </c>
      <c r="O343" t="b">
        <f t="shared" si="50"/>
        <v>0</v>
      </c>
      <c r="P343" t="b">
        <f t="shared" si="51"/>
        <v>1</v>
      </c>
      <c r="Q343" t="b">
        <f t="shared" si="52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45"/>
        <v>SOUTH_AMERICA_NO_REGION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49"/>
        <v>0</v>
      </c>
      <c r="O344" t="b">
        <f t="shared" si="50"/>
        <v>0</v>
      </c>
      <c r="P344" t="b">
        <f t="shared" si="51"/>
        <v>1</v>
      </c>
      <c r="Q344" t="b">
        <f t="shared" si="52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45"/>
        <v>SOUTH_AMERICA_NO_REGION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49"/>
        <v>0</v>
      </c>
      <c r="O345" t="b">
        <f t="shared" si="50"/>
        <v>0</v>
      </c>
      <c r="P345" t="b">
        <f t="shared" si="51"/>
        <v>1</v>
      </c>
      <c r="Q345" t="b">
        <f t="shared" si="52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45"/>
        <v>SOUTHERN_EUROPE_NO_REGION</v>
      </c>
      <c r="I346" t="b">
        <f t="shared" si="46"/>
        <v>0</v>
      </c>
      <c r="J346" t="b">
        <f t="shared" si="53"/>
        <v>0</v>
      </c>
      <c r="K346" t="b">
        <f t="shared" si="47"/>
        <v>1</v>
      </c>
      <c r="L346" t="b">
        <f t="shared" si="48"/>
        <v>0</v>
      </c>
      <c r="M346" t="b">
        <f t="shared" si="49"/>
        <v>0</v>
      </c>
      <c r="N346" t="b">
        <f t="shared" si="49"/>
        <v>0</v>
      </c>
      <c r="O346" t="b">
        <f t="shared" si="50"/>
        <v>0</v>
      </c>
      <c r="P346" t="b">
        <f t="shared" si="51"/>
        <v>0</v>
      </c>
      <c r="Q346" t="b">
        <f t="shared" si="52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45"/>
        <v>SOUTHERN_EUROPE_NO_REGION</v>
      </c>
      <c r="I347" t="b">
        <f t="shared" si="46"/>
        <v>0</v>
      </c>
      <c r="J347" t="b">
        <f t="shared" si="53"/>
        <v>0</v>
      </c>
      <c r="K347" t="b">
        <f t="shared" si="47"/>
        <v>1</v>
      </c>
      <c r="L347" t="b">
        <f t="shared" si="48"/>
        <v>0</v>
      </c>
      <c r="M347" t="b">
        <f t="shared" si="49"/>
        <v>0</v>
      </c>
      <c r="N347" t="b">
        <f t="shared" si="49"/>
        <v>0</v>
      </c>
      <c r="O347" t="b">
        <f t="shared" si="50"/>
        <v>0</v>
      </c>
      <c r="P347" t="b">
        <f t="shared" si="51"/>
        <v>0</v>
      </c>
      <c r="Q347" t="b">
        <f t="shared" si="52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45"/>
        <v>AFRICA_NO_REGION</v>
      </c>
      <c r="I348" t="b">
        <f t="shared" si="46"/>
        <v>1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49"/>
        <v>0</v>
      </c>
      <c r="O348" t="b">
        <f t="shared" si="50"/>
        <v>0</v>
      </c>
      <c r="P348" t="b">
        <f t="shared" si="51"/>
        <v>0</v>
      </c>
      <c r="Q348" t="b">
        <f t="shared" si="52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45"/>
        <v>WESTERN_EUROPE_NO_REGION</v>
      </c>
      <c r="I349" t="b">
        <f t="shared" si="46"/>
        <v>0</v>
      </c>
      <c r="J349" t="b">
        <f t="shared" si="53"/>
        <v>0</v>
      </c>
      <c r="K349" t="b">
        <f t="shared" si="47"/>
        <v>0</v>
      </c>
      <c r="L349" t="b">
        <f t="shared" si="48"/>
        <v>0</v>
      </c>
      <c r="M349" t="b">
        <f t="shared" si="49"/>
        <v>1</v>
      </c>
      <c r="N349" t="b">
        <f t="shared" si="49"/>
        <v>0</v>
      </c>
      <c r="O349" t="b">
        <f t="shared" si="50"/>
        <v>0</v>
      </c>
      <c r="P349" t="b">
        <f t="shared" si="51"/>
        <v>0</v>
      </c>
      <c r="Q349" t="b">
        <f t="shared" si="52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45"/>
        <v>NORTH_AMERICA_NO_REGION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0</v>
      </c>
      <c r="N350" t="b">
        <f t="shared" si="49"/>
        <v>0</v>
      </c>
      <c r="O350" t="b">
        <f t="shared" si="50"/>
        <v>1</v>
      </c>
      <c r="P350" t="b">
        <f t="shared" si="51"/>
        <v>0</v>
      </c>
      <c r="Q350" t="b">
        <f t="shared" si="52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45"/>
        <v>NORTHERN_EUROPE_NO_REGION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0</v>
      </c>
      <c r="M351" t="b">
        <f t="shared" si="49"/>
        <v>0</v>
      </c>
      <c r="N351" t="b">
        <f t="shared" si="49"/>
        <v>1</v>
      </c>
      <c r="O351" t="b">
        <f t="shared" si="50"/>
        <v>0</v>
      </c>
      <c r="P351" t="b">
        <f t="shared" si="51"/>
        <v>0</v>
      </c>
      <c r="Q351" t="b">
        <f t="shared" si="52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45"/>
        <v>NORTHERN_EUROPE_NO_REGION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0</v>
      </c>
      <c r="M352" t="b">
        <f t="shared" si="49"/>
        <v>0</v>
      </c>
      <c r="N352" t="b">
        <f t="shared" si="49"/>
        <v>1</v>
      </c>
      <c r="O352" t="b">
        <f t="shared" si="50"/>
        <v>0</v>
      </c>
      <c r="P352" t="b">
        <f t="shared" si="51"/>
        <v>0</v>
      </c>
      <c r="Q352" t="b">
        <f t="shared" si="52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45"/>
        <v>NORTHERN_EUROPE_NO_REGION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0</v>
      </c>
      <c r="M353" t="b">
        <f t="shared" si="49"/>
        <v>0</v>
      </c>
      <c r="N353" t="b">
        <f t="shared" si="49"/>
        <v>1</v>
      </c>
      <c r="O353" t="b">
        <f t="shared" si="50"/>
        <v>0</v>
      </c>
      <c r="P353" t="b">
        <f t="shared" si="51"/>
        <v>0</v>
      </c>
      <c r="Q353" t="b">
        <f t="shared" si="52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45"/>
        <v>ASIA_NO_REGION</v>
      </c>
      <c r="I354" t="b">
        <f t="shared" si="46"/>
        <v>0</v>
      </c>
      <c r="J354" t="b">
        <f t="shared" si="53"/>
        <v>1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49"/>
        <v>0</v>
      </c>
      <c r="O354" t="b">
        <f t="shared" si="50"/>
        <v>0</v>
      </c>
      <c r="P354" t="b">
        <f t="shared" si="51"/>
        <v>0</v>
      </c>
      <c r="Q354" t="b">
        <f t="shared" si="52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45"/>
        <v>ASIA_NO_REGION</v>
      </c>
      <c r="I355" t="b">
        <f t="shared" si="46"/>
        <v>0</v>
      </c>
      <c r="J355" t="b">
        <f t="shared" si="53"/>
        <v>1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49"/>
        <v>0</v>
      </c>
      <c r="O355" t="b">
        <f t="shared" si="50"/>
        <v>0</v>
      </c>
      <c r="P355" t="b">
        <f t="shared" si="51"/>
        <v>0</v>
      </c>
      <c r="Q355" t="b">
        <f t="shared" si="52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45"/>
        <v>WESTERN_EUROPE_NO_REGION</v>
      </c>
      <c r="I356" t="b">
        <f t="shared" si="46"/>
        <v>0</v>
      </c>
      <c r="J356" t="b">
        <f t="shared" si="53"/>
        <v>0</v>
      </c>
      <c r="K356" t="b">
        <f t="shared" si="47"/>
        <v>0</v>
      </c>
      <c r="L356" t="b">
        <f t="shared" si="48"/>
        <v>0</v>
      </c>
      <c r="M356" t="b">
        <f t="shared" si="49"/>
        <v>1</v>
      </c>
      <c r="N356" t="b">
        <f t="shared" si="49"/>
        <v>0</v>
      </c>
      <c r="O356" t="b">
        <f t="shared" si="50"/>
        <v>0</v>
      </c>
      <c r="P356" t="b">
        <f t="shared" si="51"/>
        <v>0</v>
      </c>
      <c r="Q356" t="b">
        <f t="shared" si="52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45"/>
        <v>WESTERN_EUROPE_NO_REGION</v>
      </c>
      <c r="I357" t="b">
        <f t="shared" si="46"/>
        <v>0</v>
      </c>
      <c r="J357" t="b">
        <f t="shared" si="53"/>
        <v>0</v>
      </c>
      <c r="K357" t="b">
        <f t="shared" si="47"/>
        <v>0</v>
      </c>
      <c r="L357" t="b">
        <f t="shared" si="48"/>
        <v>0</v>
      </c>
      <c r="M357" t="b">
        <f t="shared" si="49"/>
        <v>1</v>
      </c>
      <c r="N357" t="b">
        <f t="shared" si="49"/>
        <v>0</v>
      </c>
      <c r="O357" t="b">
        <f t="shared" si="50"/>
        <v>0</v>
      </c>
      <c r="P357" t="b">
        <f t="shared" si="51"/>
        <v>0</v>
      </c>
      <c r="Q357" t="b">
        <f t="shared" si="52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45"/>
        <v>OCEANIA_NO_REGION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49"/>
        <v>0</v>
      </c>
      <c r="O358" t="b">
        <f t="shared" si="50"/>
        <v>0</v>
      </c>
      <c r="P358" t="b">
        <f t="shared" si="51"/>
        <v>0</v>
      </c>
      <c r="Q358" t="b">
        <f t="shared" si="52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45"/>
        <v>NORTHERN_EUROPE_NO_REGION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0</v>
      </c>
      <c r="M359" t="b">
        <f t="shared" si="49"/>
        <v>0</v>
      </c>
      <c r="N359" t="b">
        <f t="shared" si="49"/>
        <v>1</v>
      </c>
      <c r="O359" t="b">
        <f t="shared" si="50"/>
        <v>0</v>
      </c>
      <c r="P359" t="b">
        <f t="shared" si="51"/>
        <v>0</v>
      </c>
      <c r="Q359" t="b">
        <f t="shared" si="52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45"/>
        <v>NORTH_AMERICA_NO_REGION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0</v>
      </c>
      <c r="N360" t="b">
        <f t="shared" si="49"/>
        <v>0</v>
      </c>
      <c r="O360" t="b">
        <f t="shared" si="50"/>
        <v>1</v>
      </c>
      <c r="P360" t="b">
        <f t="shared" si="51"/>
        <v>0</v>
      </c>
      <c r="Q360" t="b">
        <f t="shared" si="52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45"/>
        <v>ASIA_NO_REGION</v>
      </c>
      <c r="I361" t="b">
        <f t="shared" si="46"/>
        <v>0</v>
      </c>
      <c r="J361" t="b">
        <f t="shared" si="53"/>
        <v>1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49"/>
        <v>0</v>
      </c>
      <c r="O361" t="b">
        <f t="shared" si="50"/>
        <v>0</v>
      </c>
      <c r="P361" t="b">
        <f t="shared" si="51"/>
        <v>0</v>
      </c>
      <c r="Q361" t="b">
        <f t="shared" si="52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45"/>
        <v>ASIA_NO_REGION</v>
      </c>
      <c r="I362" t="b">
        <f t="shared" si="46"/>
        <v>0</v>
      </c>
      <c r="J362" t="b">
        <f t="shared" si="53"/>
        <v>1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49"/>
        <v>0</v>
      </c>
      <c r="O362" t="b">
        <f t="shared" si="50"/>
        <v>0</v>
      </c>
      <c r="P362" t="b">
        <f t="shared" si="51"/>
        <v>0</v>
      </c>
      <c r="Q362" t="b">
        <f t="shared" si="52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45"/>
        <v>WESTERN_EUROPE_NO_REGION</v>
      </c>
      <c r="I363" t="b">
        <f t="shared" si="46"/>
        <v>0</v>
      </c>
      <c r="J363" t="b">
        <f t="shared" si="53"/>
        <v>0</v>
      </c>
      <c r="K363" t="b">
        <f t="shared" si="47"/>
        <v>0</v>
      </c>
      <c r="L363" t="b">
        <f t="shared" si="48"/>
        <v>0</v>
      </c>
      <c r="M363" t="b">
        <f t="shared" si="49"/>
        <v>1</v>
      </c>
      <c r="N363" t="b">
        <f t="shared" si="49"/>
        <v>0</v>
      </c>
      <c r="O363" t="b">
        <f t="shared" si="50"/>
        <v>0</v>
      </c>
      <c r="P363" t="b">
        <f t="shared" si="51"/>
        <v>0</v>
      </c>
      <c r="Q363" t="b">
        <f t="shared" si="52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45"/>
        <v>OCEANIA_NO_REGION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49"/>
        <v>0</v>
      </c>
      <c r="O364" t="b">
        <f t="shared" si="50"/>
        <v>0</v>
      </c>
      <c r="P364" t="b">
        <f t="shared" si="51"/>
        <v>0</v>
      </c>
      <c r="Q364" t="b">
        <f t="shared" si="52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45"/>
        <v>NORTHERN_EUROPE_NO_REGION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0</v>
      </c>
      <c r="M365" t="b">
        <f t="shared" si="49"/>
        <v>0</v>
      </c>
      <c r="N365" t="b">
        <f t="shared" si="49"/>
        <v>1</v>
      </c>
      <c r="O365" t="b">
        <f t="shared" si="50"/>
        <v>0</v>
      </c>
      <c r="P365" t="b">
        <f t="shared" si="51"/>
        <v>0</v>
      </c>
      <c r="Q365" t="b">
        <f t="shared" si="52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45"/>
        <v>NORTHERN_EUROPE_NO_REGION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0</v>
      </c>
      <c r="M366" t="b">
        <f t="shared" si="49"/>
        <v>0</v>
      </c>
      <c r="N366" t="b">
        <f t="shared" si="49"/>
        <v>1</v>
      </c>
      <c r="O366" t="b">
        <f t="shared" si="50"/>
        <v>0</v>
      </c>
      <c r="P366" t="b">
        <f t="shared" si="51"/>
        <v>0</v>
      </c>
      <c r="Q366" t="b">
        <f t="shared" si="52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45"/>
        <v>NORTH_AMERICA_NO_REGION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0</v>
      </c>
      <c r="N367" t="b">
        <f t="shared" si="49"/>
        <v>0</v>
      </c>
      <c r="O367" t="b">
        <f t="shared" si="50"/>
        <v>1</v>
      </c>
      <c r="P367" t="b">
        <f t="shared" si="51"/>
        <v>0</v>
      </c>
      <c r="Q367" t="b">
        <f t="shared" si="52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45"/>
        <v>NORTH_AMERICA_NO_REGION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0</v>
      </c>
      <c r="N368" t="b">
        <f t="shared" si="49"/>
        <v>0</v>
      </c>
      <c r="O368" t="b">
        <f t="shared" si="50"/>
        <v>1</v>
      </c>
      <c r="P368" t="b">
        <f t="shared" si="51"/>
        <v>0</v>
      </c>
      <c r="Q368" t="b">
        <f t="shared" si="52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45"/>
        <v>SOUTH_AMERICA_NO_REGION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49"/>
        <v>0</v>
      </c>
      <c r="O369" t="b">
        <f t="shared" si="50"/>
        <v>0</v>
      </c>
      <c r="P369" t="b">
        <f t="shared" si="51"/>
        <v>1</v>
      </c>
      <c r="Q369" t="b">
        <f t="shared" si="52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45"/>
        <v>SOUTHERN_EUROPE_NO_REGION</v>
      </c>
      <c r="I370" t="b">
        <f t="shared" si="46"/>
        <v>0</v>
      </c>
      <c r="J370" t="b">
        <f t="shared" si="53"/>
        <v>0</v>
      </c>
      <c r="K370" t="b">
        <f t="shared" si="47"/>
        <v>1</v>
      </c>
      <c r="L370" t="b">
        <f t="shared" si="48"/>
        <v>0</v>
      </c>
      <c r="M370" t="b">
        <f t="shared" si="49"/>
        <v>0</v>
      </c>
      <c r="N370" t="b">
        <f t="shared" si="49"/>
        <v>0</v>
      </c>
      <c r="O370" t="b">
        <f t="shared" si="50"/>
        <v>0</v>
      </c>
      <c r="P370" t="b">
        <f t="shared" si="51"/>
        <v>0</v>
      </c>
      <c r="Q370" t="b">
        <f t="shared" si="52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45"/>
        <v>AFRICA_NO_REGION</v>
      </c>
      <c r="I371" t="b">
        <f t="shared" si="46"/>
        <v>1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49"/>
        <v>0</v>
      </c>
      <c r="O371" t="b">
        <f t="shared" si="50"/>
        <v>0</v>
      </c>
      <c r="P371" t="b">
        <f t="shared" si="51"/>
        <v>0</v>
      </c>
      <c r="Q371" t="b">
        <f t="shared" si="52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45"/>
        <v>EASTERN_EUROPE_NO_REGION</v>
      </c>
      <c r="I372" t="b">
        <f t="shared" si="46"/>
        <v>0</v>
      </c>
      <c r="J372" t="b">
        <f t="shared" si="53"/>
        <v>0</v>
      </c>
      <c r="K372" t="b">
        <f t="shared" si="47"/>
        <v>0</v>
      </c>
      <c r="L372" t="b">
        <f t="shared" si="48"/>
        <v>1</v>
      </c>
      <c r="M372" t="b">
        <f t="shared" si="49"/>
        <v>0</v>
      </c>
      <c r="N372" t="b">
        <f t="shared" si="49"/>
        <v>0</v>
      </c>
      <c r="O372" t="b">
        <f t="shared" si="50"/>
        <v>0</v>
      </c>
      <c r="P372" t="b">
        <f t="shared" si="51"/>
        <v>0</v>
      </c>
      <c r="Q372" t="b">
        <f t="shared" si="52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45"/>
        <v>EASTERN_EUROPE_NO_REGION</v>
      </c>
      <c r="I373" t="b">
        <f t="shared" si="46"/>
        <v>0</v>
      </c>
      <c r="J373" t="b">
        <f t="shared" si="53"/>
        <v>0</v>
      </c>
      <c r="K373" t="b">
        <f t="shared" si="47"/>
        <v>0</v>
      </c>
      <c r="L373" t="b">
        <f t="shared" si="48"/>
        <v>1</v>
      </c>
      <c r="M373" t="b">
        <f t="shared" si="49"/>
        <v>0</v>
      </c>
      <c r="N373" t="b">
        <f t="shared" si="49"/>
        <v>0</v>
      </c>
      <c r="O373" t="b">
        <f t="shared" si="50"/>
        <v>0</v>
      </c>
      <c r="P373" t="b">
        <f t="shared" si="51"/>
        <v>0</v>
      </c>
      <c r="Q373" t="b">
        <f t="shared" si="52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45"/>
        <v>EASTERN_EUROPE_NO_REGION</v>
      </c>
      <c r="I374" t="b">
        <f t="shared" si="46"/>
        <v>0</v>
      </c>
      <c r="J374" t="b">
        <f t="shared" si="53"/>
        <v>0</v>
      </c>
      <c r="K374" t="b">
        <f t="shared" si="47"/>
        <v>0</v>
      </c>
      <c r="L374" t="b">
        <f t="shared" si="48"/>
        <v>1</v>
      </c>
      <c r="M374" t="b">
        <f t="shared" si="49"/>
        <v>0</v>
      </c>
      <c r="N374" t="b">
        <f t="shared" si="49"/>
        <v>0</v>
      </c>
      <c r="O374" t="b">
        <f t="shared" si="50"/>
        <v>0</v>
      </c>
      <c r="P374" t="b">
        <f t="shared" si="51"/>
        <v>0</v>
      </c>
      <c r="Q374" t="b">
        <f t="shared" si="52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45"/>
        <v>EASTERN_EUROPE_NO_REGION</v>
      </c>
      <c r="I375" t="b">
        <f t="shared" si="46"/>
        <v>0</v>
      </c>
      <c r="J375" t="b">
        <f t="shared" si="53"/>
        <v>0</v>
      </c>
      <c r="K375" t="b">
        <f t="shared" si="47"/>
        <v>0</v>
      </c>
      <c r="L375" t="b">
        <f t="shared" si="48"/>
        <v>1</v>
      </c>
      <c r="M375" t="b">
        <f t="shared" si="49"/>
        <v>0</v>
      </c>
      <c r="N375" t="b">
        <f t="shared" si="49"/>
        <v>0</v>
      </c>
      <c r="O375" t="b">
        <f t="shared" si="50"/>
        <v>0</v>
      </c>
      <c r="P375" t="b">
        <f t="shared" si="51"/>
        <v>0</v>
      </c>
      <c r="Q375" t="b">
        <f t="shared" si="52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45"/>
        <v>SOUTHERN_EUROPE_NO_REGION</v>
      </c>
      <c r="I376" t="b">
        <f t="shared" si="46"/>
        <v>0</v>
      </c>
      <c r="J376" t="b">
        <f t="shared" si="53"/>
        <v>0</v>
      </c>
      <c r="K376" t="b">
        <f t="shared" si="47"/>
        <v>1</v>
      </c>
      <c r="L376" t="b">
        <f t="shared" si="48"/>
        <v>0</v>
      </c>
      <c r="M376" t="b">
        <f t="shared" si="49"/>
        <v>0</v>
      </c>
      <c r="N376" t="b">
        <f t="shared" si="49"/>
        <v>0</v>
      </c>
      <c r="O376" t="b">
        <f t="shared" si="50"/>
        <v>0</v>
      </c>
      <c r="P376" t="b">
        <f t="shared" si="51"/>
        <v>0</v>
      </c>
      <c r="Q376" t="b">
        <f t="shared" si="52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45"/>
        <v>SOUTHERN_EUROPE_NO_REGION</v>
      </c>
      <c r="I377" t="b">
        <f t="shared" si="46"/>
        <v>0</v>
      </c>
      <c r="J377" t="b">
        <f t="shared" si="53"/>
        <v>0</v>
      </c>
      <c r="K377" t="b">
        <f t="shared" si="47"/>
        <v>1</v>
      </c>
      <c r="L377" t="b">
        <f t="shared" si="48"/>
        <v>0</v>
      </c>
      <c r="M377" t="b">
        <f t="shared" si="49"/>
        <v>0</v>
      </c>
      <c r="N377" t="b">
        <f t="shared" si="49"/>
        <v>0</v>
      </c>
      <c r="O377" t="b">
        <f t="shared" si="50"/>
        <v>0</v>
      </c>
      <c r="P377" t="b">
        <f t="shared" si="51"/>
        <v>0</v>
      </c>
      <c r="Q377" t="b">
        <f t="shared" si="52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45"/>
        <v>SOUTHERN_EUROPE_NO_REGION</v>
      </c>
      <c r="I378" t="b">
        <f t="shared" si="46"/>
        <v>0</v>
      </c>
      <c r="J378" t="b">
        <f t="shared" si="53"/>
        <v>0</v>
      </c>
      <c r="K378" t="b">
        <f t="shared" si="47"/>
        <v>1</v>
      </c>
      <c r="L378" t="b">
        <f t="shared" si="48"/>
        <v>0</v>
      </c>
      <c r="M378" t="b">
        <f t="shared" si="49"/>
        <v>0</v>
      </c>
      <c r="N378" t="b">
        <f t="shared" si="49"/>
        <v>0</v>
      </c>
      <c r="O378" t="b">
        <f t="shared" si="50"/>
        <v>0</v>
      </c>
      <c r="P378" t="b">
        <f t="shared" si="51"/>
        <v>0</v>
      </c>
      <c r="Q378" t="b">
        <f t="shared" si="52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45"/>
        <v>SOUTHERN_EUROPE_NO_REGION</v>
      </c>
      <c r="I379" t="b">
        <f t="shared" si="46"/>
        <v>0</v>
      </c>
      <c r="J379" t="b">
        <f t="shared" si="53"/>
        <v>0</v>
      </c>
      <c r="K379" t="b">
        <f t="shared" si="47"/>
        <v>1</v>
      </c>
      <c r="L379" t="b">
        <f t="shared" si="48"/>
        <v>0</v>
      </c>
      <c r="M379" t="b">
        <f t="shared" si="49"/>
        <v>0</v>
      </c>
      <c r="N379" t="b">
        <f t="shared" si="49"/>
        <v>0</v>
      </c>
      <c r="O379" t="b">
        <f t="shared" si="50"/>
        <v>0</v>
      </c>
      <c r="P379" t="b">
        <f t="shared" si="51"/>
        <v>0</v>
      </c>
      <c r="Q379" t="b">
        <f t="shared" si="52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45"/>
        <v>WESTERN_EUROPE_NO_REGION</v>
      </c>
      <c r="I380" t="b">
        <f t="shared" si="46"/>
        <v>0</v>
      </c>
      <c r="J380" t="b">
        <f t="shared" si="53"/>
        <v>0</v>
      </c>
      <c r="K380" t="b">
        <f t="shared" si="47"/>
        <v>0</v>
      </c>
      <c r="L380" t="b">
        <f t="shared" si="48"/>
        <v>0</v>
      </c>
      <c r="M380" t="b">
        <f t="shared" si="49"/>
        <v>1</v>
      </c>
      <c r="N380" t="b">
        <f t="shared" si="49"/>
        <v>0</v>
      </c>
      <c r="O380" t="b">
        <f t="shared" si="50"/>
        <v>0</v>
      </c>
      <c r="P380" t="b">
        <f t="shared" si="51"/>
        <v>0</v>
      </c>
      <c r="Q380" t="b">
        <f t="shared" si="52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45"/>
        <v>SOUTHERN_EUROPE_NO_REGION</v>
      </c>
      <c r="I381" t="b">
        <f t="shared" si="46"/>
        <v>0</v>
      </c>
      <c r="J381" t="b">
        <f t="shared" si="53"/>
        <v>0</v>
      </c>
      <c r="K381" t="b">
        <f t="shared" si="47"/>
        <v>1</v>
      </c>
      <c r="L381" t="b">
        <f t="shared" si="48"/>
        <v>0</v>
      </c>
      <c r="M381" t="b">
        <f t="shared" si="49"/>
        <v>0</v>
      </c>
      <c r="N381" t="b">
        <f t="shared" si="49"/>
        <v>0</v>
      </c>
      <c r="O381" t="b">
        <f t="shared" si="50"/>
        <v>0</v>
      </c>
      <c r="P381" t="b">
        <f t="shared" si="51"/>
        <v>0</v>
      </c>
      <c r="Q381" t="b">
        <f t="shared" si="52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45"/>
        <v>SOUTH_AMERICA_NO_REGION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49"/>
        <v>0</v>
      </c>
      <c r="O382" t="b">
        <f t="shared" si="50"/>
        <v>0</v>
      </c>
      <c r="P382" t="b">
        <f t="shared" si="51"/>
        <v>1</v>
      </c>
      <c r="Q382" t="b">
        <f t="shared" si="52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45"/>
        <v>SOUTH_AMERICA_NO_REGION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49"/>
        <v>0</v>
      </c>
      <c r="O383" t="b">
        <f t="shared" si="50"/>
        <v>0</v>
      </c>
      <c r="P383" t="b">
        <f t="shared" si="51"/>
        <v>1</v>
      </c>
      <c r="Q383" t="b">
        <f t="shared" si="52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45"/>
        <v>AFRICA_NO_REGION</v>
      </c>
      <c r="I384" t="b">
        <f t="shared" si="46"/>
        <v>1</v>
      </c>
      <c r="J384" t="b">
        <f t="shared" si="53"/>
        <v>0</v>
      </c>
      <c r="K384" t="b">
        <f t="shared" si="47"/>
        <v>0</v>
      </c>
      <c r="L384" t="b">
        <f t="shared" si="48"/>
        <v>0</v>
      </c>
      <c r="M384" t="b">
        <f t="shared" si="49"/>
        <v>0</v>
      </c>
      <c r="N384" t="b">
        <f t="shared" si="49"/>
        <v>0</v>
      </c>
      <c r="O384" t="b">
        <f t="shared" si="50"/>
        <v>0</v>
      </c>
      <c r="P384" t="b">
        <f t="shared" si="51"/>
        <v>0</v>
      </c>
      <c r="Q384" t="b">
        <f t="shared" si="52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45"/>
        <v>ASIA_NO_REGION</v>
      </c>
      <c r="I385" t="b">
        <f t="shared" si="46"/>
        <v>0</v>
      </c>
      <c r="J385" t="b">
        <f t="shared" si="53"/>
        <v>1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49"/>
        <v>0</v>
      </c>
      <c r="O385" t="b">
        <f t="shared" si="50"/>
        <v>0</v>
      </c>
      <c r="P385" t="b">
        <f t="shared" si="51"/>
        <v>0</v>
      </c>
      <c r="Q385" t="b">
        <f t="shared" si="52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45"/>
        <v>AFRICA_NO_REGION</v>
      </c>
      <c r="I386" t="b">
        <f t="shared" si="46"/>
        <v>1</v>
      </c>
      <c r="J386" t="b">
        <f t="shared" si="53"/>
        <v>0</v>
      </c>
      <c r="K386" t="b">
        <f t="shared" si="47"/>
        <v>0</v>
      </c>
      <c r="L386" t="b">
        <f t="shared" si="48"/>
        <v>0</v>
      </c>
      <c r="M386" t="b">
        <f t="shared" si="49"/>
        <v>0</v>
      </c>
      <c r="N386" t="b">
        <f t="shared" si="49"/>
        <v>0</v>
      </c>
      <c r="O386" t="b">
        <f t="shared" si="50"/>
        <v>0</v>
      </c>
      <c r="P386" t="b">
        <f t="shared" si="51"/>
        <v>0</v>
      </c>
      <c r="Q386" t="b">
        <f t="shared" si="52"/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54">_xlfn.CONCAT($F387,"_",$G387)</f>
        <v>SOUTH_AMERICA_SOUTHERN_EUROPE</v>
      </c>
      <c r="I387" t="b">
        <f t="shared" ref="I387:I450" si="55">OR(ISNUMBER(SEARCH("ALL_REGION",$H387)),
ISNUMBER(SEARCH("AFRICA",$H387)),
ISNUMBER(SEARCH("REGIONTYPE1",$H387)),
ISNUMBER(SEARCH("REGIONTYPE2",$H387)))</f>
        <v>0</v>
      </c>
      <c r="J387" t="b">
        <f t="shared" si="53"/>
        <v>0</v>
      </c>
      <c r="K387" t="b">
        <f t="shared" ref="K387:K450" si="56">OR(ISNUMBER(SEARCH("ALL_REGION",$H387)),
ISNUMBER(SEARCH("ALL_EUROPE",$H387)),
ISNUMBER(SEARCH(K$1,$H387)),
ISNUMBER(SEARCH("REGIONTYPE1",$H387)))</f>
        <v>1</v>
      </c>
      <c r="L387" t="b">
        <f t="shared" ref="L387:L450" si="57">OR(ISNUMBER(SEARCH("ALL_REGION",$H387)),
ISNUMBER(SEARCH("ALL_EUROPE",$H387)),
ISNUMBER(SEARCH(L$1,$H387)),
ISNUMBER(SEARCH("REGIONTYPE1",$H387)),
ISNUMBER(SEARCH("REGIONTYPE4",$H387)),
ISNUMBER(SEARCH("REGIONTYPE5",$H387)))</f>
        <v>0</v>
      </c>
      <c r="M387" t="b">
        <f t="shared" ref="M387:N450" si="58">OR(ISNUMBER(SEARCH("ALL_REGION",$H387)),
ISNUMBER(SEARCH("ALL_EUROPE",$H387)),
ISNUMBER(SEARCH(M$1,$H387)),
ISNUMBER(SEARCH("REGIONTYPE1",$H387)),
ISNUMBER(SEARCH("REGIONTYPE6",$H387)))</f>
        <v>0</v>
      </c>
      <c r="N387" t="b">
        <f t="shared" si="58"/>
        <v>0</v>
      </c>
      <c r="O387" t="b">
        <f t="shared" ref="O387:O450" si="59">OR(ISNUMBER(SEARCH("ALL_REGION",$H387)),
ISNUMBER(SEARCH("ALL_AMERICA",$H387)),
ISNUMBER(SEARCH(O$1,$H387)),
ISNUMBER(SEARCH("REGIONTYPE2",$H387)))</f>
        <v>0</v>
      </c>
      <c r="P387" t="b">
        <f t="shared" ref="P387:P450" si="60">OR(ISNUMBER(SEARCH("ALL_REGION",$H387)),
ISNUMBER(SEARCH("ALL_AMERICA",$H387)),
ISNUMBER(SEARCH(P$1,$H387)),
ISNUMBER(SEARCH("REGIONTYPE2",$H387)),
ISNUMBER(SEARCH("REGIONTYPE5",$H387)))</f>
        <v>1</v>
      </c>
      <c r="Q387" t="b">
        <f t="shared" ref="Q387:Q450" si="61">OR(ISNUMBER(SEARCH("ALL_REGION",$H387)),
ISNUMBER(SEARCH(Q$1,$H387)),
ISNUMBER(SEARCH("REGIONTYPE3",$H387)))</f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54"/>
        <v>EASTERN_EUROPE_NO_REGION</v>
      </c>
      <c r="I388" t="b">
        <f t="shared" si="55"/>
        <v>0</v>
      </c>
      <c r="J388" t="b">
        <f t="shared" ref="J388:J451" si="62">OR(ISNUMBER(SEARCH("ALL_REGION",$H388)),
ISNUMBER(SEARCH("ASIA",$H388)),
ISNUMBER(SEARCH("REGIONTYPE1",$H388)),
ISNUMBER(SEARCH("REGIONTYPE2",$H388)),
ISNUMBER(SEARCH("REGIONTYPE3",$H388)),
ISNUMBER(SEARCH("REGIONTYPE4",$H388)))</f>
        <v>0</v>
      </c>
      <c r="K388" t="b">
        <f t="shared" si="56"/>
        <v>0</v>
      </c>
      <c r="L388" t="b">
        <f t="shared" si="57"/>
        <v>1</v>
      </c>
      <c r="M388" t="b">
        <f t="shared" si="58"/>
        <v>0</v>
      </c>
      <c r="N388" t="b">
        <f t="shared" si="58"/>
        <v>0</v>
      </c>
      <c r="O388" t="b">
        <f t="shared" si="59"/>
        <v>0</v>
      </c>
      <c r="P388" t="b">
        <f t="shared" si="60"/>
        <v>0</v>
      </c>
      <c r="Q388" t="b">
        <f t="shared" si="61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54"/>
        <v>NORTHERN_EUROPE_NO_REGION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0</v>
      </c>
      <c r="M389" t="b">
        <f t="shared" si="58"/>
        <v>0</v>
      </c>
      <c r="N389" t="b">
        <f t="shared" si="58"/>
        <v>1</v>
      </c>
      <c r="O389" t="b">
        <f t="shared" si="59"/>
        <v>0</v>
      </c>
      <c r="P389" t="b">
        <f t="shared" si="60"/>
        <v>0</v>
      </c>
      <c r="Q389" t="b">
        <f t="shared" si="61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54"/>
        <v>NORTH_AMERICA_NO_REGION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0</v>
      </c>
      <c r="N390" t="b">
        <f t="shared" si="58"/>
        <v>0</v>
      </c>
      <c r="O390" t="b">
        <f t="shared" si="59"/>
        <v>1</v>
      </c>
      <c r="P390" t="b">
        <f t="shared" si="60"/>
        <v>0</v>
      </c>
      <c r="Q390" t="b">
        <f t="shared" si="61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54"/>
        <v>WESTERN_EUROPE_NO_REGION</v>
      </c>
      <c r="I391" t="b">
        <f t="shared" si="55"/>
        <v>0</v>
      </c>
      <c r="J391" t="b">
        <f t="shared" si="62"/>
        <v>0</v>
      </c>
      <c r="K391" t="b">
        <f t="shared" si="56"/>
        <v>0</v>
      </c>
      <c r="L391" t="b">
        <f t="shared" si="57"/>
        <v>0</v>
      </c>
      <c r="M391" t="b">
        <f t="shared" si="58"/>
        <v>1</v>
      </c>
      <c r="N391" t="b">
        <f t="shared" si="58"/>
        <v>0</v>
      </c>
      <c r="O391" t="b">
        <f t="shared" si="59"/>
        <v>0</v>
      </c>
      <c r="P391" t="b">
        <f t="shared" si="60"/>
        <v>0</v>
      </c>
      <c r="Q391" t="b">
        <f t="shared" si="61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54"/>
        <v>WESTERN_EUROPE_NO_REGION</v>
      </c>
      <c r="I392" t="b">
        <f t="shared" si="55"/>
        <v>0</v>
      </c>
      <c r="J392" t="b">
        <f t="shared" si="62"/>
        <v>0</v>
      </c>
      <c r="K392" t="b">
        <f t="shared" si="56"/>
        <v>0</v>
      </c>
      <c r="L392" t="b">
        <f t="shared" si="57"/>
        <v>0</v>
      </c>
      <c r="M392" t="b">
        <f t="shared" si="58"/>
        <v>1</v>
      </c>
      <c r="N392" t="b">
        <f t="shared" si="58"/>
        <v>0</v>
      </c>
      <c r="O392" t="b">
        <f t="shared" si="59"/>
        <v>0</v>
      </c>
      <c r="P392" t="b">
        <f t="shared" si="60"/>
        <v>0</v>
      </c>
      <c r="Q392" t="b">
        <f t="shared" si="61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54"/>
        <v>NORTHERN_EUROPE_NO_REGION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0</v>
      </c>
      <c r="M393" t="b">
        <f t="shared" si="58"/>
        <v>0</v>
      </c>
      <c r="N393" t="b">
        <f t="shared" si="58"/>
        <v>1</v>
      </c>
      <c r="O393" t="b">
        <f t="shared" si="59"/>
        <v>0</v>
      </c>
      <c r="P393" t="b">
        <f t="shared" si="60"/>
        <v>0</v>
      </c>
      <c r="Q393" t="b">
        <f t="shared" si="61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54"/>
        <v>WESTERN_EUROPE_NO_REGION</v>
      </c>
      <c r="I394" t="b">
        <f t="shared" si="55"/>
        <v>0</v>
      </c>
      <c r="J394" t="b">
        <f t="shared" si="62"/>
        <v>0</v>
      </c>
      <c r="K394" t="b">
        <f t="shared" si="56"/>
        <v>0</v>
      </c>
      <c r="L394" t="b">
        <f t="shared" si="57"/>
        <v>0</v>
      </c>
      <c r="M394" t="b">
        <f t="shared" si="58"/>
        <v>1</v>
      </c>
      <c r="N394" t="b">
        <f t="shared" si="58"/>
        <v>0</v>
      </c>
      <c r="O394" t="b">
        <f t="shared" si="59"/>
        <v>0</v>
      </c>
      <c r="P394" t="b">
        <f t="shared" si="60"/>
        <v>0</v>
      </c>
      <c r="Q394" t="b">
        <f t="shared" si="61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54"/>
        <v>NORTH_AMERICA_NO_REGION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0</v>
      </c>
      <c r="N395" t="b">
        <f t="shared" si="58"/>
        <v>0</v>
      </c>
      <c r="O395" t="b">
        <f t="shared" si="59"/>
        <v>1</v>
      </c>
      <c r="P395" t="b">
        <f t="shared" si="60"/>
        <v>0</v>
      </c>
      <c r="Q395" t="b">
        <f t="shared" si="61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54"/>
        <v>WESTERN_EUROPE_NO_REGION</v>
      </c>
      <c r="I396" t="b">
        <f t="shared" si="55"/>
        <v>0</v>
      </c>
      <c r="J396" t="b">
        <f t="shared" si="62"/>
        <v>0</v>
      </c>
      <c r="K396" t="b">
        <f t="shared" si="56"/>
        <v>0</v>
      </c>
      <c r="L396" t="b">
        <f t="shared" si="57"/>
        <v>0</v>
      </c>
      <c r="M396" t="b">
        <f t="shared" si="58"/>
        <v>1</v>
      </c>
      <c r="N396" t="b">
        <f t="shared" si="58"/>
        <v>0</v>
      </c>
      <c r="O396" t="b">
        <f t="shared" si="59"/>
        <v>0</v>
      </c>
      <c r="P396" t="b">
        <f t="shared" si="60"/>
        <v>0</v>
      </c>
      <c r="Q396" t="b">
        <f t="shared" si="61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54"/>
        <v>WESTERN_EUROPE_NO_REGION</v>
      </c>
      <c r="I397" t="b">
        <f t="shared" si="55"/>
        <v>0</v>
      </c>
      <c r="J397" t="b">
        <f t="shared" si="62"/>
        <v>0</v>
      </c>
      <c r="K397" t="b">
        <f t="shared" si="56"/>
        <v>0</v>
      </c>
      <c r="L397" t="b">
        <f t="shared" si="57"/>
        <v>0</v>
      </c>
      <c r="M397" t="b">
        <f t="shared" si="58"/>
        <v>1</v>
      </c>
      <c r="N397" t="b">
        <f t="shared" si="58"/>
        <v>0</v>
      </c>
      <c r="O397" t="b">
        <f t="shared" si="59"/>
        <v>0</v>
      </c>
      <c r="P397" t="b">
        <f t="shared" si="60"/>
        <v>0</v>
      </c>
      <c r="Q397" t="b">
        <f t="shared" si="61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54"/>
        <v>WESTERN_EUROPE_NO_REGION</v>
      </c>
      <c r="I398" t="b">
        <f t="shared" si="55"/>
        <v>0</v>
      </c>
      <c r="J398" t="b">
        <f t="shared" si="62"/>
        <v>0</v>
      </c>
      <c r="K398" t="b">
        <f t="shared" si="56"/>
        <v>0</v>
      </c>
      <c r="L398" t="b">
        <f t="shared" si="57"/>
        <v>0</v>
      </c>
      <c r="M398" t="b">
        <f t="shared" si="58"/>
        <v>1</v>
      </c>
      <c r="N398" t="b">
        <f t="shared" si="58"/>
        <v>0</v>
      </c>
      <c r="O398" t="b">
        <f t="shared" si="59"/>
        <v>0</v>
      </c>
      <c r="P398" t="b">
        <f t="shared" si="60"/>
        <v>0</v>
      </c>
      <c r="Q398" t="b">
        <f t="shared" si="61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54"/>
        <v>WESTERN_EUROPE_NO_REGION</v>
      </c>
      <c r="I399" t="b">
        <f t="shared" si="55"/>
        <v>0</v>
      </c>
      <c r="J399" t="b">
        <f t="shared" si="62"/>
        <v>0</v>
      </c>
      <c r="K399" t="b">
        <f t="shared" si="56"/>
        <v>0</v>
      </c>
      <c r="L399" t="b">
        <f t="shared" si="57"/>
        <v>0</v>
      </c>
      <c r="M399" t="b">
        <f t="shared" si="58"/>
        <v>1</v>
      </c>
      <c r="N399" t="b">
        <f t="shared" si="58"/>
        <v>0</v>
      </c>
      <c r="O399" t="b">
        <f t="shared" si="59"/>
        <v>0</v>
      </c>
      <c r="P399" t="b">
        <f t="shared" si="60"/>
        <v>0</v>
      </c>
      <c r="Q399" t="b">
        <f t="shared" si="61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54"/>
        <v>WESTERN_EUROPE_NO_REGION</v>
      </c>
      <c r="I400" t="b">
        <f t="shared" si="55"/>
        <v>0</v>
      </c>
      <c r="J400" t="b">
        <f t="shared" si="62"/>
        <v>0</v>
      </c>
      <c r="K400" t="b">
        <f t="shared" si="56"/>
        <v>0</v>
      </c>
      <c r="L400" t="b">
        <f t="shared" si="57"/>
        <v>0</v>
      </c>
      <c r="M400" t="b">
        <f t="shared" si="58"/>
        <v>1</v>
      </c>
      <c r="N400" t="b">
        <f t="shared" si="58"/>
        <v>0</v>
      </c>
      <c r="O400" t="b">
        <f t="shared" si="59"/>
        <v>0</v>
      </c>
      <c r="P400" t="b">
        <f t="shared" si="60"/>
        <v>0</v>
      </c>
      <c r="Q400" t="b">
        <f t="shared" si="61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REGIONTYPE6</v>
      </c>
      <c r="G401" s="31" t="str">
        <f>_xlfn.XLOOKUP($A401,PROPERTIES[VEHIDCODE],PROPERTIES[REGION2])</f>
        <v>ASIA</v>
      </c>
      <c r="H401" s="31" t="str">
        <f t="shared" si="54"/>
        <v>REGIONTYPE6_ASIA</v>
      </c>
      <c r="I401" t="b">
        <f t="shared" si="55"/>
        <v>0</v>
      </c>
      <c r="J401" t="b">
        <f t="shared" si="62"/>
        <v>1</v>
      </c>
      <c r="K401" t="b">
        <f t="shared" si="56"/>
        <v>0</v>
      </c>
      <c r="L401" t="b">
        <f t="shared" si="57"/>
        <v>0</v>
      </c>
      <c r="M401" t="b">
        <f t="shared" si="58"/>
        <v>1</v>
      </c>
      <c r="N401" t="b">
        <f t="shared" si="58"/>
        <v>1</v>
      </c>
      <c r="O401" t="b">
        <f t="shared" si="59"/>
        <v>0</v>
      </c>
      <c r="P401" t="b">
        <f t="shared" si="60"/>
        <v>0</v>
      </c>
      <c r="Q401" t="b">
        <f t="shared" si="61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54"/>
        <v>WESTERN_EUROPE_NO_REGION</v>
      </c>
      <c r="I402" t="b">
        <f t="shared" si="55"/>
        <v>0</v>
      </c>
      <c r="J402" t="b">
        <f t="shared" si="62"/>
        <v>0</v>
      </c>
      <c r="K402" t="b">
        <f t="shared" si="56"/>
        <v>0</v>
      </c>
      <c r="L402" t="b">
        <f t="shared" si="57"/>
        <v>0</v>
      </c>
      <c r="M402" t="b">
        <f t="shared" si="58"/>
        <v>1</v>
      </c>
      <c r="N402" t="b">
        <f t="shared" si="58"/>
        <v>0</v>
      </c>
      <c r="O402" t="b">
        <f t="shared" si="59"/>
        <v>0</v>
      </c>
      <c r="P402" t="b">
        <f t="shared" si="60"/>
        <v>0</v>
      </c>
      <c r="Q402" t="b">
        <f t="shared" si="61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54"/>
        <v>WESTERN_EUROPE_NO_REGION</v>
      </c>
      <c r="I403" t="b">
        <f t="shared" si="55"/>
        <v>0</v>
      </c>
      <c r="J403" t="b">
        <f t="shared" si="62"/>
        <v>0</v>
      </c>
      <c r="K403" t="b">
        <f t="shared" si="56"/>
        <v>0</v>
      </c>
      <c r="L403" t="b">
        <f t="shared" si="57"/>
        <v>0</v>
      </c>
      <c r="M403" t="b">
        <f t="shared" si="58"/>
        <v>1</v>
      </c>
      <c r="N403" t="b">
        <f t="shared" si="58"/>
        <v>0</v>
      </c>
      <c r="O403" t="b">
        <f t="shared" si="59"/>
        <v>0</v>
      </c>
      <c r="P403" t="b">
        <f t="shared" si="60"/>
        <v>0</v>
      </c>
      <c r="Q403" t="b">
        <f t="shared" si="61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54"/>
        <v>WESTERN_EUROPE_NO_REGION</v>
      </c>
      <c r="I404" t="b">
        <f t="shared" si="55"/>
        <v>0</v>
      </c>
      <c r="J404" t="b">
        <f t="shared" si="62"/>
        <v>0</v>
      </c>
      <c r="K404" t="b">
        <f t="shared" si="56"/>
        <v>0</v>
      </c>
      <c r="L404" t="b">
        <f t="shared" si="57"/>
        <v>0</v>
      </c>
      <c r="M404" t="b">
        <f t="shared" si="58"/>
        <v>1</v>
      </c>
      <c r="N404" t="b">
        <f t="shared" si="58"/>
        <v>0</v>
      </c>
      <c r="O404" t="b">
        <f t="shared" si="59"/>
        <v>0</v>
      </c>
      <c r="P404" t="b">
        <f t="shared" si="60"/>
        <v>0</v>
      </c>
      <c r="Q404" t="b">
        <f t="shared" si="61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54"/>
        <v>NORTHERN_EUROPE_NO_REGION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0</v>
      </c>
      <c r="M405" t="b">
        <f t="shared" si="58"/>
        <v>0</v>
      </c>
      <c r="N405" t="b">
        <f t="shared" si="58"/>
        <v>1</v>
      </c>
      <c r="O405" t="b">
        <f t="shared" si="59"/>
        <v>0</v>
      </c>
      <c r="P405" t="b">
        <f t="shared" si="60"/>
        <v>0</v>
      </c>
      <c r="Q405" t="b">
        <f t="shared" si="61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54"/>
        <v>NORTHERN_EUROPE_NO_REGION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0</v>
      </c>
      <c r="M406" t="b">
        <f t="shared" si="58"/>
        <v>0</v>
      </c>
      <c r="N406" t="b">
        <f t="shared" si="58"/>
        <v>1</v>
      </c>
      <c r="O406" t="b">
        <f t="shared" si="59"/>
        <v>0</v>
      </c>
      <c r="P406" t="b">
        <f t="shared" si="60"/>
        <v>0</v>
      </c>
      <c r="Q406" t="b">
        <f t="shared" si="61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54"/>
        <v>NORTHERN_EUROPE_NO_REGION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0</v>
      </c>
      <c r="M407" t="b">
        <f t="shared" si="58"/>
        <v>0</v>
      </c>
      <c r="N407" t="b">
        <f t="shared" si="58"/>
        <v>1</v>
      </c>
      <c r="O407" t="b">
        <f t="shared" si="59"/>
        <v>0</v>
      </c>
      <c r="P407" t="b">
        <f t="shared" si="60"/>
        <v>0</v>
      </c>
      <c r="Q407" t="b">
        <f t="shared" si="61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54"/>
        <v>NORTHERN_EUROPE_NO_REGION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0</v>
      </c>
      <c r="M408" t="b">
        <f t="shared" si="58"/>
        <v>0</v>
      </c>
      <c r="N408" t="b">
        <f t="shared" si="58"/>
        <v>1</v>
      </c>
      <c r="O408" t="b">
        <f t="shared" si="59"/>
        <v>0</v>
      </c>
      <c r="P408" t="b">
        <f t="shared" si="60"/>
        <v>0</v>
      </c>
      <c r="Q408" t="b">
        <f t="shared" si="61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54"/>
        <v>NORTHERN_EUROPE_NO_REGION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0</v>
      </c>
      <c r="M409" t="b">
        <f t="shared" si="58"/>
        <v>0</v>
      </c>
      <c r="N409" t="b">
        <f t="shared" si="58"/>
        <v>1</v>
      </c>
      <c r="O409" t="b">
        <f t="shared" si="59"/>
        <v>0</v>
      </c>
      <c r="P409" t="b">
        <f t="shared" si="60"/>
        <v>0</v>
      </c>
      <c r="Q409" t="b">
        <f t="shared" si="61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54"/>
        <v>WESTERN_EUROPE_NO_REGION</v>
      </c>
      <c r="I410" t="b">
        <f t="shared" si="55"/>
        <v>0</v>
      </c>
      <c r="J410" t="b">
        <f t="shared" si="62"/>
        <v>0</v>
      </c>
      <c r="K410" t="b">
        <f t="shared" si="56"/>
        <v>0</v>
      </c>
      <c r="L410" t="b">
        <f t="shared" si="57"/>
        <v>0</v>
      </c>
      <c r="M410" t="b">
        <f t="shared" si="58"/>
        <v>1</v>
      </c>
      <c r="N410" t="b">
        <f t="shared" si="58"/>
        <v>0</v>
      </c>
      <c r="O410" t="b">
        <f t="shared" si="59"/>
        <v>0</v>
      </c>
      <c r="P410" t="b">
        <f t="shared" si="60"/>
        <v>0</v>
      </c>
      <c r="Q410" t="b">
        <f t="shared" si="61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54"/>
        <v>NORTH_AMERICA_NO_REGION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0</v>
      </c>
      <c r="N411" t="b">
        <f t="shared" si="58"/>
        <v>0</v>
      </c>
      <c r="O411" t="b">
        <f t="shared" si="59"/>
        <v>1</v>
      </c>
      <c r="P411" t="b">
        <f t="shared" si="60"/>
        <v>0</v>
      </c>
      <c r="Q411" t="b">
        <f t="shared" si="61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54"/>
        <v>NORTH_AMERICA_NO_REGION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0</v>
      </c>
      <c r="N412" t="b">
        <f t="shared" si="58"/>
        <v>0</v>
      </c>
      <c r="O412" t="b">
        <f t="shared" si="59"/>
        <v>1</v>
      </c>
      <c r="P412" t="b">
        <f t="shared" si="60"/>
        <v>0</v>
      </c>
      <c r="Q412" t="b">
        <f t="shared" si="61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54"/>
        <v>NORTH_AMERICA_NO_REGION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0</v>
      </c>
      <c r="N413" t="b">
        <f t="shared" si="58"/>
        <v>0</v>
      </c>
      <c r="O413" t="b">
        <f t="shared" si="59"/>
        <v>1</v>
      </c>
      <c r="P413" t="b">
        <f t="shared" si="60"/>
        <v>0</v>
      </c>
      <c r="Q413" t="b">
        <f t="shared" si="61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54"/>
        <v>OCEANIA_NO_REGION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8"/>
        <v>0</v>
      </c>
      <c r="O414" t="b">
        <f t="shared" si="59"/>
        <v>0</v>
      </c>
      <c r="P414" t="b">
        <f t="shared" si="60"/>
        <v>0</v>
      </c>
      <c r="Q414" t="b">
        <f t="shared" si="61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54"/>
        <v>ASIA_NO_REGION</v>
      </c>
      <c r="I415" t="b">
        <f t="shared" si="55"/>
        <v>0</v>
      </c>
      <c r="J415" t="b">
        <f t="shared" si="62"/>
        <v>1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8"/>
        <v>0</v>
      </c>
      <c r="O415" t="b">
        <f t="shared" si="59"/>
        <v>0</v>
      </c>
      <c r="P415" t="b">
        <f t="shared" si="60"/>
        <v>0</v>
      </c>
      <c r="Q415" t="b">
        <f t="shared" si="61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54"/>
        <v>ASIA_NO_REGION</v>
      </c>
      <c r="I416" t="b">
        <f t="shared" si="55"/>
        <v>0</v>
      </c>
      <c r="J416" t="b">
        <f t="shared" si="62"/>
        <v>1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8"/>
        <v>0</v>
      </c>
      <c r="O416" t="b">
        <f t="shared" si="59"/>
        <v>0</v>
      </c>
      <c r="P416" t="b">
        <f t="shared" si="60"/>
        <v>0</v>
      </c>
      <c r="Q416" t="b">
        <f t="shared" si="61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54"/>
        <v>ASIA_NO_REGION</v>
      </c>
      <c r="I417" t="b">
        <f t="shared" si="55"/>
        <v>0</v>
      </c>
      <c r="J417" t="b">
        <f t="shared" si="62"/>
        <v>1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8"/>
        <v>0</v>
      </c>
      <c r="O417" t="b">
        <f t="shared" si="59"/>
        <v>0</v>
      </c>
      <c r="P417" t="b">
        <f t="shared" si="60"/>
        <v>0</v>
      </c>
      <c r="Q417" t="b">
        <f t="shared" si="61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54"/>
        <v>ASIA_NO_REGION</v>
      </c>
      <c r="I418" t="b">
        <f t="shared" si="55"/>
        <v>0</v>
      </c>
      <c r="J418" t="b">
        <f t="shared" si="62"/>
        <v>1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8"/>
        <v>0</v>
      </c>
      <c r="O418" t="b">
        <f t="shared" si="59"/>
        <v>0</v>
      </c>
      <c r="P418" t="b">
        <f t="shared" si="60"/>
        <v>0</v>
      </c>
      <c r="Q418" t="b">
        <f t="shared" si="61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54"/>
        <v>ASIA_NO_REGION</v>
      </c>
      <c r="I419" t="b">
        <f t="shared" si="55"/>
        <v>0</v>
      </c>
      <c r="J419" t="b">
        <f t="shared" si="62"/>
        <v>1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8"/>
        <v>0</v>
      </c>
      <c r="O419" t="b">
        <f t="shared" si="59"/>
        <v>0</v>
      </c>
      <c r="P419" t="b">
        <f t="shared" si="60"/>
        <v>0</v>
      </c>
      <c r="Q419" t="b">
        <f t="shared" si="61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54"/>
        <v>NORTH_AMERICA_NO_REGION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0</v>
      </c>
      <c r="N420" t="b">
        <f t="shared" si="58"/>
        <v>0</v>
      </c>
      <c r="O420" t="b">
        <f t="shared" si="59"/>
        <v>1</v>
      </c>
      <c r="P420" t="b">
        <f t="shared" si="60"/>
        <v>0</v>
      </c>
      <c r="Q420" t="b">
        <f t="shared" si="61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54"/>
        <v>EASTERN_EUROPE_NO_REGION</v>
      </c>
      <c r="I421" t="b">
        <f t="shared" si="55"/>
        <v>0</v>
      </c>
      <c r="J421" t="b">
        <f t="shared" si="62"/>
        <v>0</v>
      </c>
      <c r="K421" t="b">
        <f t="shared" si="56"/>
        <v>0</v>
      </c>
      <c r="L421" t="b">
        <f t="shared" si="57"/>
        <v>1</v>
      </c>
      <c r="M421" t="b">
        <f t="shared" si="58"/>
        <v>0</v>
      </c>
      <c r="N421" t="b">
        <f t="shared" si="58"/>
        <v>0</v>
      </c>
      <c r="O421" t="b">
        <f t="shared" si="59"/>
        <v>0</v>
      </c>
      <c r="P421" t="b">
        <f t="shared" si="60"/>
        <v>0</v>
      </c>
      <c r="Q421" t="b">
        <f t="shared" si="61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54"/>
        <v>EASTERN_EUROPE_NO_REGION</v>
      </c>
      <c r="I422" t="b">
        <f t="shared" si="55"/>
        <v>0</v>
      </c>
      <c r="J422" t="b">
        <f t="shared" si="62"/>
        <v>0</v>
      </c>
      <c r="K422" t="b">
        <f t="shared" si="56"/>
        <v>0</v>
      </c>
      <c r="L422" t="b">
        <f t="shared" si="57"/>
        <v>1</v>
      </c>
      <c r="M422" t="b">
        <f t="shared" si="58"/>
        <v>0</v>
      </c>
      <c r="N422" t="b">
        <f t="shared" si="58"/>
        <v>0</v>
      </c>
      <c r="O422" t="b">
        <f t="shared" si="59"/>
        <v>0</v>
      </c>
      <c r="P422" t="b">
        <f t="shared" si="60"/>
        <v>0</v>
      </c>
      <c r="Q422" t="b">
        <f t="shared" si="61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54"/>
        <v>SOUTHERN_EUROPE_NO_REGION</v>
      </c>
      <c r="I423" t="b">
        <f t="shared" si="55"/>
        <v>0</v>
      </c>
      <c r="J423" t="b">
        <f t="shared" si="62"/>
        <v>0</v>
      </c>
      <c r="K423" t="b">
        <f t="shared" si="56"/>
        <v>1</v>
      </c>
      <c r="L423" t="b">
        <f t="shared" si="57"/>
        <v>0</v>
      </c>
      <c r="M423" t="b">
        <f t="shared" si="58"/>
        <v>0</v>
      </c>
      <c r="N423" t="b">
        <f t="shared" si="58"/>
        <v>0</v>
      </c>
      <c r="O423" t="b">
        <f t="shared" si="59"/>
        <v>0</v>
      </c>
      <c r="P423" t="b">
        <f t="shared" si="60"/>
        <v>0</v>
      </c>
      <c r="Q423" t="b">
        <f t="shared" si="61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54"/>
        <v>SOUTHERN_EUROPE_NO_REGION</v>
      </c>
      <c r="I424" t="b">
        <f t="shared" si="55"/>
        <v>0</v>
      </c>
      <c r="J424" t="b">
        <f t="shared" si="62"/>
        <v>0</v>
      </c>
      <c r="K424" t="b">
        <f t="shared" si="56"/>
        <v>1</v>
      </c>
      <c r="L424" t="b">
        <f t="shared" si="57"/>
        <v>0</v>
      </c>
      <c r="M424" t="b">
        <f t="shared" si="58"/>
        <v>0</v>
      </c>
      <c r="N424" t="b">
        <f t="shared" si="58"/>
        <v>0</v>
      </c>
      <c r="O424" t="b">
        <f t="shared" si="59"/>
        <v>0</v>
      </c>
      <c r="P424" t="b">
        <f t="shared" si="60"/>
        <v>0</v>
      </c>
      <c r="Q424" t="b">
        <f t="shared" si="61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54"/>
        <v>AFRICA_NO_REGION</v>
      </c>
      <c r="I425" t="b">
        <f t="shared" si="55"/>
        <v>1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8"/>
        <v>0</v>
      </c>
      <c r="O425" t="b">
        <f t="shared" si="59"/>
        <v>0</v>
      </c>
      <c r="P425" t="b">
        <f t="shared" si="60"/>
        <v>0</v>
      </c>
      <c r="Q425" t="b">
        <f t="shared" si="61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54"/>
        <v>ASIA_NO_REGION</v>
      </c>
      <c r="I426" t="b">
        <f t="shared" si="55"/>
        <v>0</v>
      </c>
      <c r="J426" t="b">
        <f t="shared" si="62"/>
        <v>1</v>
      </c>
      <c r="K426" t="b">
        <f t="shared" si="56"/>
        <v>0</v>
      </c>
      <c r="L426" t="b">
        <f t="shared" si="57"/>
        <v>0</v>
      </c>
      <c r="M426" t="b">
        <f t="shared" si="58"/>
        <v>0</v>
      </c>
      <c r="N426" t="b">
        <f t="shared" si="58"/>
        <v>0</v>
      </c>
      <c r="O426" t="b">
        <f t="shared" si="59"/>
        <v>0</v>
      </c>
      <c r="P426" t="b">
        <f t="shared" si="60"/>
        <v>0</v>
      </c>
      <c r="Q426" t="b">
        <f t="shared" si="61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54"/>
        <v>EASTERN_EUROPE_NO_REGION</v>
      </c>
      <c r="I427" t="b">
        <f t="shared" si="55"/>
        <v>0</v>
      </c>
      <c r="J427" t="b">
        <f t="shared" si="62"/>
        <v>0</v>
      </c>
      <c r="K427" t="b">
        <f t="shared" si="56"/>
        <v>0</v>
      </c>
      <c r="L427" t="b">
        <f t="shared" si="57"/>
        <v>1</v>
      </c>
      <c r="M427" t="b">
        <f t="shared" si="58"/>
        <v>0</v>
      </c>
      <c r="N427" t="b">
        <f t="shared" si="58"/>
        <v>0</v>
      </c>
      <c r="O427" t="b">
        <f t="shared" si="59"/>
        <v>0</v>
      </c>
      <c r="P427" t="b">
        <f t="shared" si="60"/>
        <v>0</v>
      </c>
      <c r="Q427" t="b">
        <f t="shared" si="61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54"/>
        <v>EASTERN_EUROPE_NO_REGION</v>
      </c>
      <c r="I428" t="b">
        <f t="shared" si="55"/>
        <v>0</v>
      </c>
      <c r="J428" t="b">
        <f t="shared" si="62"/>
        <v>0</v>
      </c>
      <c r="K428" t="b">
        <f t="shared" si="56"/>
        <v>0</v>
      </c>
      <c r="L428" t="b">
        <f t="shared" si="57"/>
        <v>1</v>
      </c>
      <c r="M428" t="b">
        <f t="shared" si="58"/>
        <v>0</v>
      </c>
      <c r="N428" t="b">
        <f t="shared" si="58"/>
        <v>0</v>
      </c>
      <c r="O428" t="b">
        <f t="shared" si="59"/>
        <v>0</v>
      </c>
      <c r="P428" t="b">
        <f t="shared" si="60"/>
        <v>0</v>
      </c>
      <c r="Q428" t="b">
        <f t="shared" si="61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54"/>
        <v>SOUTHERN_EUROPE_NO_REGION</v>
      </c>
      <c r="I429" t="b">
        <f t="shared" si="55"/>
        <v>0</v>
      </c>
      <c r="J429" t="b">
        <f t="shared" si="62"/>
        <v>0</v>
      </c>
      <c r="K429" t="b">
        <f t="shared" si="56"/>
        <v>1</v>
      </c>
      <c r="L429" t="b">
        <f t="shared" si="57"/>
        <v>0</v>
      </c>
      <c r="M429" t="b">
        <f t="shared" si="58"/>
        <v>0</v>
      </c>
      <c r="N429" t="b">
        <f t="shared" si="58"/>
        <v>0</v>
      </c>
      <c r="O429" t="b">
        <f t="shared" si="59"/>
        <v>0</v>
      </c>
      <c r="P429" t="b">
        <f t="shared" si="60"/>
        <v>0</v>
      </c>
      <c r="Q429" t="b">
        <f t="shared" si="61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54"/>
        <v>SOUTHERN_EUROPE_NO_REGION</v>
      </c>
      <c r="I430" t="b">
        <f t="shared" si="55"/>
        <v>0</v>
      </c>
      <c r="J430" t="b">
        <f t="shared" si="62"/>
        <v>0</v>
      </c>
      <c r="K430" t="b">
        <f t="shared" si="56"/>
        <v>1</v>
      </c>
      <c r="L430" t="b">
        <f t="shared" si="57"/>
        <v>0</v>
      </c>
      <c r="M430" t="b">
        <f t="shared" si="58"/>
        <v>0</v>
      </c>
      <c r="N430" t="b">
        <f t="shared" si="58"/>
        <v>0</v>
      </c>
      <c r="O430" t="b">
        <f t="shared" si="59"/>
        <v>0</v>
      </c>
      <c r="P430" t="b">
        <f t="shared" si="60"/>
        <v>0</v>
      </c>
      <c r="Q430" t="b">
        <f t="shared" si="61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54"/>
        <v>AFRICA_NO_REGION</v>
      </c>
      <c r="I431" t="b">
        <f t="shared" si="55"/>
        <v>1</v>
      </c>
      <c r="J431" t="b">
        <f t="shared" si="62"/>
        <v>0</v>
      </c>
      <c r="K431" t="b">
        <f t="shared" si="56"/>
        <v>0</v>
      </c>
      <c r="L431" t="b">
        <f t="shared" si="57"/>
        <v>0</v>
      </c>
      <c r="M431" t="b">
        <f t="shared" si="58"/>
        <v>0</v>
      </c>
      <c r="N431" t="b">
        <f t="shared" si="58"/>
        <v>0</v>
      </c>
      <c r="O431" t="b">
        <f t="shared" si="59"/>
        <v>0</v>
      </c>
      <c r="P431" t="b">
        <f t="shared" si="60"/>
        <v>0</v>
      </c>
      <c r="Q431" t="b">
        <f t="shared" si="61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54"/>
        <v>NORTHERN_EUROPE_NO_REGION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0</v>
      </c>
      <c r="M432" t="b">
        <f t="shared" si="58"/>
        <v>0</v>
      </c>
      <c r="N432" t="b">
        <f t="shared" si="58"/>
        <v>1</v>
      </c>
      <c r="O432" t="b">
        <f t="shared" si="59"/>
        <v>0</v>
      </c>
      <c r="P432" t="b">
        <f t="shared" si="60"/>
        <v>0</v>
      </c>
      <c r="Q432" t="b">
        <f t="shared" si="61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54"/>
        <v>NORTH_AMERICA_NO_REGION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0</v>
      </c>
      <c r="N433" t="b">
        <f t="shared" si="58"/>
        <v>0</v>
      </c>
      <c r="O433" t="b">
        <f t="shared" si="59"/>
        <v>1</v>
      </c>
      <c r="P433" t="b">
        <f t="shared" si="60"/>
        <v>0</v>
      </c>
      <c r="Q433" t="b">
        <f t="shared" si="61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54"/>
        <v>AFRICA_NO_REGION</v>
      </c>
      <c r="I434" t="b">
        <f t="shared" si="55"/>
        <v>1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8"/>
        <v>0</v>
      </c>
      <c r="O434" t="b">
        <f t="shared" si="59"/>
        <v>0</v>
      </c>
      <c r="P434" t="b">
        <f t="shared" si="60"/>
        <v>0</v>
      </c>
      <c r="Q434" t="b">
        <f t="shared" si="61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54"/>
        <v>OCEANIA_NO_REGION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8"/>
        <v>0</v>
      </c>
      <c r="O435" t="b">
        <f t="shared" si="59"/>
        <v>0</v>
      </c>
      <c r="P435" t="b">
        <f t="shared" si="60"/>
        <v>0</v>
      </c>
      <c r="Q435" t="b">
        <f t="shared" si="61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54"/>
        <v>NORTH_AMERICA_NO_REGION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0</v>
      </c>
      <c r="N436" t="b">
        <f t="shared" si="58"/>
        <v>0</v>
      </c>
      <c r="O436" t="b">
        <f t="shared" si="59"/>
        <v>1</v>
      </c>
      <c r="P436" t="b">
        <f t="shared" si="60"/>
        <v>0</v>
      </c>
      <c r="Q436" t="b">
        <f t="shared" si="61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54"/>
        <v>WESTERN_EUROPE_NO_REGION</v>
      </c>
      <c r="I437" t="b">
        <f t="shared" si="55"/>
        <v>0</v>
      </c>
      <c r="J437" t="b">
        <f t="shared" si="62"/>
        <v>0</v>
      </c>
      <c r="K437" t="b">
        <f t="shared" si="56"/>
        <v>0</v>
      </c>
      <c r="L437" t="b">
        <f t="shared" si="57"/>
        <v>0</v>
      </c>
      <c r="M437" t="b">
        <f t="shared" si="58"/>
        <v>1</v>
      </c>
      <c r="N437" t="b">
        <f t="shared" si="58"/>
        <v>0</v>
      </c>
      <c r="O437" t="b">
        <f t="shared" si="59"/>
        <v>0</v>
      </c>
      <c r="P437" t="b">
        <f t="shared" si="60"/>
        <v>0</v>
      </c>
      <c r="Q437" t="b">
        <f t="shared" si="61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54"/>
        <v>WESTERN_EUROPE_NO_REGION</v>
      </c>
      <c r="I438" t="b">
        <f t="shared" si="55"/>
        <v>0</v>
      </c>
      <c r="J438" t="b">
        <f t="shared" si="62"/>
        <v>0</v>
      </c>
      <c r="K438" t="b">
        <f t="shared" si="56"/>
        <v>0</v>
      </c>
      <c r="L438" t="b">
        <f t="shared" si="57"/>
        <v>0</v>
      </c>
      <c r="M438" t="b">
        <f t="shared" si="58"/>
        <v>1</v>
      </c>
      <c r="N438" t="b">
        <f t="shared" si="58"/>
        <v>0</v>
      </c>
      <c r="O438" t="b">
        <f t="shared" si="59"/>
        <v>0</v>
      </c>
      <c r="P438" t="b">
        <f t="shared" si="60"/>
        <v>0</v>
      </c>
      <c r="Q438" t="b">
        <f t="shared" si="61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54"/>
        <v>WESTERN_EUROPE_NO_REGION</v>
      </c>
      <c r="I439" t="b">
        <f t="shared" si="55"/>
        <v>0</v>
      </c>
      <c r="J439" t="b">
        <f t="shared" si="62"/>
        <v>0</v>
      </c>
      <c r="K439" t="b">
        <f t="shared" si="56"/>
        <v>0</v>
      </c>
      <c r="L439" t="b">
        <f t="shared" si="57"/>
        <v>0</v>
      </c>
      <c r="M439" t="b">
        <f t="shared" si="58"/>
        <v>1</v>
      </c>
      <c r="N439" t="b">
        <f t="shared" si="58"/>
        <v>0</v>
      </c>
      <c r="O439" t="b">
        <f t="shared" si="59"/>
        <v>0</v>
      </c>
      <c r="P439" t="b">
        <f t="shared" si="60"/>
        <v>0</v>
      </c>
      <c r="Q439" t="b">
        <f t="shared" si="61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54"/>
        <v>ALL_EUROPE_NO_REGION</v>
      </c>
      <c r="I440" t="b">
        <f t="shared" si="55"/>
        <v>0</v>
      </c>
      <c r="J440" t="b">
        <f t="shared" si="62"/>
        <v>0</v>
      </c>
      <c r="K440" t="b">
        <f t="shared" si="56"/>
        <v>1</v>
      </c>
      <c r="L440" t="b">
        <f t="shared" si="57"/>
        <v>1</v>
      </c>
      <c r="M440" t="b">
        <f t="shared" si="58"/>
        <v>1</v>
      </c>
      <c r="N440" t="b">
        <f t="shared" si="58"/>
        <v>1</v>
      </c>
      <c r="O440" t="b">
        <f t="shared" si="59"/>
        <v>0</v>
      </c>
      <c r="P440" t="b">
        <f t="shared" si="60"/>
        <v>0</v>
      </c>
      <c r="Q440" t="b">
        <f t="shared" si="61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54"/>
        <v>ASIA_NO_REGION</v>
      </c>
      <c r="I441" t="b">
        <f t="shared" si="55"/>
        <v>0</v>
      </c>
      <c r="J441" t="b">
        <f t="shared" si="62"/>
        <v>1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8"/>
        <v>0</v>
      </c>
      <c r="O441" t="b">
        <f t="shared" si="59"/>
        <v>0</v>
      </c>
      <c r="P441" t="b">
        <f t="shared" si="60"/>
        <v>0</v>
      </c>
      <c r="Q441" t="b">
        <f t="shared" si="61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54"/>
        <v>NORTH_AMERICA_NO_REGION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0</v>
      </c>
      <c r="N442" t="b">
        <f t="shared" si="58"/>
        <v>0</v>
      </c>
      <c r="O442" t="b">
        <f t="shared" si="59"/>
        <v>1</v>
      </c>
      <c r="P442" t="b">
        <f t="shared" si="60"/>
        <v>0</v>
      </c>
      <c r="Q442" t="b">
        <f t="shared" si="61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54"/>
        <v>NORTH_AMERICA_NO_REGION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0</v>
      </c>
      <c r="N443" t="b">
        <f t="shared" si="58"/>
        <v>0</v>
      </c>
      <c r="O443" t="b">
        <f t="shared" si="59"/>
        <v>1</v>
      </c>
      <c r="P443" t="b">
        <f t="shared" si="60"/>
        <v>0</v>
      </c>
      <c r="Q443" t="b">
        <f t="shared" si="61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54"/>
        <v>EASTERN_EUROPE_NO_REGION</v>
      </c>
      <c r="I444" t="b">
        <f t="shared" si="55"/>
        <v>0</v>
      </c>
      <c r="J444" t="b">
        <f t="shared" si="62"/>
        <v>0</v>
      </c>
      <c r="K444" t="b">
        <f t="shared" si="56"/>
        <v>0</v>
      </c>
      <c r="L444" t="b">
        <f t="shared" si="57"/>
        <v>1</v>
      </c>
      <c r="M444" t="b">
        <f t="shared" si="58"/>
        <v>0</v>
      </c>
      <c r="N444" t="b">
        <f t="shared" si="58"/>
        <v>0</v>
      </c>
      <c r="O444" t="b">
        <f t="shared" si="59"/>
        <v>0</v>
      </c>
      <c r="P444" t="b">
        <f t="shared" si="60"/>
        <v>0</v>
      </c>
      <c r="Q444" t="b">
        <f t="shared" si="61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54"/>
        <v>SOUTHERN_EUROPE_NO_REGION</v>
      </c>
      <c r="I445" t="b">
        <f t="shared" si="55"/>
        <v>0</v>
      </c>
      <c r="J445" t="b">
        <f t="shared" si="62"/>
        <v>0</v>
      </c>
      <c r="K445" t="b">
        <f t="shared" si="56"/>
        <v>1</v>
      </c>
      <c r="L445" t="b">
        <f t="shared" si="57"/>
        <v>0</v>
      </c>
      <c r="M445" t="b">
        <f t="shared" si="58"/>
        <v>0</v>
      </c>
      <c r="N445" t="b">
        <f t="shared" si="58"/>
        <v>0</v>
      </c>
      <c r="O445" t="b">
        <f t="shared" si="59"/>
        <v>0</v>
      </c>
      <c r="P445" t="b">
        <f t="shared" si="60"/>
        <v>0</v>
      </c>
      <c r="Q445" t="b">
        <f t="shared" si="61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54"/>
        <v>ALL_EUROPE_NO_REGION</v>
      </c>
      <c r="I446" t="b">
        <f t="shared" si="55"/>
        <v>0</v>
      </c>
      <c r="J446" t="b">
        <f t="shared" si="62"/>
        <v>0</v>
      </c>
      <c r="K446" t="b">
        <f t="shared" si="56"/>
        <v>1</v>
      </c>
      <c r="L446" t="b">
        <f t="shared" si="57"/>
        <v>1</v>
      </c>
      <c r="M446" t="b">
        <f t="shared" si="58"/>
        <v>1</v>
      </c>
      <c r="N446" t="b">
        <f t="shared" si="58"/>
        <v>1</v>
      </c>
      <c r="O446" t="b">
        <f t="shared" si="59"/>
        <v>0</v>
      </c>
      <c r="P446" t="b">
        <f t="shared" si="60"/>
        <v>0</v>
      </c>
      <c r="Q446" t="b">
        <f t="shared" si="61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54"/>
        <v>SOUTHERN_EUROPE_NO_REGION</v>
      </c>
      <c r="I447" t="b">
        <f t="shared" si="55"/>
        <v>0</v>
      </c>
      <c r="J447" t="b">
        <f t="shared" si="62"/>
        <v>0</v>
      </c>
      <c r="K447" t="b">
        <f t="shared" si="56"/>
        <v>1</v>
      </c>
      <c r="L447" t="b">
        <f t="shared" si="57"/>
        <v>0</v>
      </c>
      <c r="M447" t="b">
        <f t="shared" si="58"/>
        <v>0</v>
      </c>
      <c r="N447" t="b">
        <f t="shared" si="58"/>
        <v>0</v>
      </c>
      <c r="O447" t="b">
        <f t="shared" si="59"/>
        <v>0</v>
      </c>
      <c r="P447" t="b">
        <f t="shared" si="60"/>
        <v>0</v>
      </c>
      <c r="Q447" t="b">
        <f t="shared" si="61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54"/>
        <v>ASIA_NO_REGION</v>
      </c>
      <c r="I448" t="b">
        <f t="shared" si="55"/>
        <v>0</v>
      </c>
      <c r="J448" t="b">
        <f t="shared" si="62"/>
        <v>1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8"/>
        <v>0</v>
      </c>
      <c r="O448" t="b">
        <f t="shared" si="59"/>
        <v>0</v>
      </c>
      <c r="P448" t="b">
        <f t="shared" si="60"/>
        <v>0</v>
      </c>
      <c r="Q448" t="b">
        <f t="shared" si="61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54"/>
        <v>NORTHERN_EUROPE_NO_REGION</v>
      </c>
      <c r="I449" t="b">
        <f t="shared" si="55"/>
        <v>0</v>
      </c>
      <c r="J449" t="b">
        <f t="shared" si="62"/>
        <v>0</v>
      </c>
      <c r="K449" t="b">
        <f t="shared" si="56"/>
        <v>0</v>
      </c>
      <c r="L449" t="b">
        <f t="shared" si="57"/>
        <v>0</v>
      </c>
      <c r="M449" t="b">
        <f t="shared" si="58"/>
        <v>0</v>
      </c>
      <c r="N449" t="b">
        <f t="shared" si="58"/>
        <v>1</v>
      </c>
      <c r="O449" t="b">
        <f t="shared" si="59"/>
        <v>0</v>
      </c>
      <c r="P449" t="b">
        <f t="shared" si="60"/>
        <v>0</v>
      </c>
      <c r="Q449" t="b">
        <f t="shared" si="61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54"/>
        <v>NORTH_AMERICA_NO_REGION</v>
      </c>
      <c r="I450" t="b">
        <f t="shared" si="55"/>
        <v>0</v>
      </c>
      <c r="J450" t="b">
        <f t="shared" si="62"/>
        <v>0</v>
      </c>
      <c r="K450" t="b">
        <f t="shared" si="56"/>
        <v>0</v>
      </c>
      <c r="L450" t="b">
        <f t="shared" si="57"/>
        <v>0</v>
      </c>
      <c r="M450" t="b">
        <f t="shared" si="58"/>
        <v>0</v>
      </c>
      <c r="N450" t="b">
        <f t="shared" si="58"/>
        <v>0</v>
      </c>
      <c r="O450" t="b">
        <f t="shared" si="59"/>
        <v>1</v>
      </c>
      <c r="P450" t="b">
        <f t="shared" si="60"/>
        <v>0</v>
      </c>
      <c r="Q450" t="b">
        <f t="shared" si="61"/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63">_xlfn.CONCAT($F451,"_",$G451)</f>
        <v>WESTERN_EUROPE_NO_REGION</v>
      </c>
      <c r="I451" t="b">
        <f t="shared" ref="I451:I514" si="64">OR(ISNUMBER(SEARCH("ALL_REGION",$H451)),
ISNUMBER(SEARCH("AFRICA",$H451)),
ISNUMBER(SEARCH("REGIONTYPE1",$H451)),
ISNUMBER(SEARCH("REGIONTYPE2",$H451)))</f>
        <v>0</v>
      </c>
      <c r="J451" t="b">
        <f t="shared" si="62"/>
        <v>0</v>
      </c>
      <c r="K451" t="b">
        <f t="shared" ref="K451:K514" si="65">OR(ISNUMBER(SEARCH("ALL_REGION",$H451)),
ISNUMBER(SEARCH("ALL_EUROPE",$H451)),
ISNUMBER(SEARCH(K$1,$H451)),
ISNUMBER(SEARCH("REGIONTYPE1",$H451)))</f>
        <v>0</v>
      </c>
      <c r="L451" t="b">
        <f t="shared" ref="L451:L514" si="66">OR(ISNUMBER(SEARCH("ALL_REGION",$H451)),
ISNUMBER(SEARCH("ALL_EUROPE",$H451)),
ISNUMBER(SEARCH(L$1,$H451)),
ISNUMBER(SEARCH("REGIONTYPE1",$H451)),
ISNUMBER(SEARCH("REGIONTYPE4",$H451)),
ISNUMBER(SEARCH("REGIONTYPE5",$H451)))</f>
        <v>0</v>
      </c>
      <c r="M451" t="b">
        <f t="shared" ref="M451:N514" si="67">OR(ISNUMBER(SEARCH("ALL_REGION",$H451)),
ISNUMBER(SEARCH("ALL_EUROPE",$H451)),
ISNUMBER(SEARCH(M$1,$H451)),
ISNUMBER(SEARCH("REGIONTYPE1",$H451)),
ISNUMBER(SEARCH("REGIONTYPE6",$H451)))</f>
        <v>1</v>
      </c>
      <c r="N451" t="b">
        <f t="shared" si="67"/>
        <v>0</v>
      </c>
      <c r="O451" t="b">
        <f t="shared" ref="O451:O514" si="68">OR(ISNUMBER(SEARCH("ALL_REGION",$H451)),
ISNUMBER(SEARCH("ALL_AMERICA",$H451)),
ISNUMBER(SEARCH(O$1,$H451)),
ISNUMBER(SEARCH("REGIONTYPE2",$H451)))</f>
        <v>0</v>
      </c>
      <c r="P451" t="b">
        <f t="shared" ref="P451:P514" si="69">OR(ISNUMBER(SEARCH("ALL_REGION",$H451)),
ISNUMBER(SEARCH("ALL_AMERICA",$H451)),
ISNUMBER(SEARCH(P$1,$H451)),
ISNUMBER(SEARCH("REGIONTYPE2",$H451)),
ISNUMBER(SEARCH("REGIONTYPE5",$H451)))</f>
        <v>0</v>
      </c>
      <c r="Q451" t="b">
        <f t="shared" ref="Q451:Q514" si="70">OR(ISNUMBER(SEARCH("ALL_REGION",$H451)),
ISNUMBER(SEARCH(Q$1,$H451)),
ISNUMBER(SEARCH("REGIONTYPE3",$H451)))</f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63"/>
        <v>WESTERN_EUROPE_NO_REGION</v>
      </c>
      <c r="I452" t="b">
        <f t="shared" si="64"/>
        <v>0</v>
      </c>
      <c r="J452" t="b">
        <f t="shared" ref="J452:J515" si="71">OR(ISNUMBER(SEARCH("ALL_REGION",$H452)),
ISNUMBER(SEARCH("ASIA",$H452)),
ISNUMBER(SEARCH("REGIONTYPE1",$H452)),
ISNUMBER(SEARCH("REGIONTYPE2",$H452)),
ISNUMBER(SEARCH("REGIONTYPE3",$H452)),
ISNUMBER(SEARCH("REGIONTYPE4",$H452)))</f>
        <v>0</v>
      </c>
      <c r="K452" t="b">
        <f t="shared" si="65"/>
        <v>0</v>
      </c>
      <c r="L452" t="b">
        <f t="shared" si="66"/>
        <v>0</v>
      </c>
      <c r="M452" t="b">
        <f t="shared" si="67"/>
        <v>1</v>
      </c>
      <c r="N452" t="b">
        <f t="shared" si="67"/>
        <v>0</v>
      </c>
      <c r="O452" t="b">
        <f t="shared" si="68"/>
        <v>0</v>
      </c>
      <c r="P452" t="b">
        <f t="shared" si="69"/>
        <v>0</v>
      </c>
      <c r="Q452" t="b">
        <f t="shared" si="70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63"/>
        <v>WESTERN_EUROPE_NO_REGION</v>
      </c>
      <c r="I453" t="b">
        <f t="shared" si="64"/>
        <v>0</v>
      </c>
      <c r="J453" t="b">
        <f t="shared" si="71"/>
        <v>0</v>
      </c>
      <c r="K453" t="b">
        <f t="shared" si="65"/>
        <v>0</v>
      </c>
      <c r="L453" t="b">
        <f t="shared" si="66"/>
        <v>0</v>
      </c>
      <c r="M453" t="b">
        <f t="shared" si="67"/>
        <v>1</v>
      </c>
      <c r="N453" t="b">
        <f t="shared" si="67"/>
        <v>0</v>
      </c>
      <c r="O453" t="b">
        <f t="shared" si="68"/>
        <v>0</v>
      </c>
      <c r="P453" t="b">
        <f t="shared" si="69"/>
        <v>0</v>
      </c>
      <c r="Q453" t="b">
        <f t="shared" si="70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63"/>
        <v>OCEANIA_NO_REGION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7"/>
        <v>0</v>
      </c>
      <c r="O454" t="b">
        <f t="shared" si="68"/>
        <v>0</v>
      </c>
      <c r="P454" t="b">
        <f t="shared" si="69"/>
        <v>0</v>
      </c>
      <c r="Q454" t="b">
        <f t="shared" si="70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63"/>
        <v>EASTERN_EUROPE_NO_REGION</v>
      </c>
      <c r="I455" t="b">
        <f t="shared" si="64"/>
        <v>0</v>
      </c>
      <c r="J455" t="b">
        <f t="shared" si="71"/>
        <v>0</v>
      </c>
      <c r="K455" t="b">
        <f t="shared" si="65"/>
        <v>0</v>
      </c>
      <c r="L455" t="b">
        <f t="shared" si="66"/>
        <v>1</v>
      </c>
      <c r="M455" t="b">
        <f t="shared" si="67"/>
        <v>0</v>
      </c>
      <c r="N455" t="b">
        <f t="shared" si="67"/>
        <v>0</v>
      </c>
      <c r="O455" t="b">
        <f t="shared" si="68"/>
        <v>0</v>
      </c>
      <c r="P455" t="b">
        <f t="shared" si="69"/>
        <v>0</v>
      </c>
      <c r="Q455" t="b">
        <f t="shared" si="70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63"/>
        <v>WESTERN_EUROPE_NO_REGION</v>
      </c>
      <c r="I456" t="b">
        <f t="shared" si="64"/>
        <v>0</v>
      </c>
      <c r="J456" t="b">
        <f t="shared" si="71"/>
        <v>0</v>
      </c>
      <c r="K456" t="b">
        <f t="shared" si="65"/>
        <v>0</v>
      </c>
      <c r="L456" t="b">
        <f t="shared" si="66"/>
        <v>0</v>
      </c>
      <c r="M456" t="b">
        <f t="shared" si="67"/>
        <v>1</v>
      </c>
      <c r="N456" t="b">
        <f t="shared" si="67"/>
        <v>0</v>
      </c>
      <c r="O456" t="b">
        <f t="shared" si="68"/>
        <v>0</v>
      </c>
      <c r="P456" t="b">
        <f t="shared" si="69"/>
        <v>0</v>
      </c>
      <c r="Q456" t="b">
        <f t="shared" si="70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63"/>
        <v>OCEANIA_NO_REGION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7"/>
        <v>0</v>
      </c>
      <c r="O457" t="b">
        <f t="shared" si="68"/>
        <v>0</v>
      </c>
      <c r="P457" t="b">
        <f t="shared" si="69"/>
        <v>0</v>
      </c>
      <c r="Q457" t="b">
        <f t="shared" si="70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63"/>
        <v>WESTERN_EUROPE_NO_REGION</v>
      </c>
      <c r="I458" t="b">
        <f t="shared" si="64"/>
        <v>0</v>
      </c>
      <c r="J458" t="b">
        <f t="shared" si="71"/>
        <v>0</v>
      </c>
      <c r="K458" t="b">
        <f t="shared" si="65"/>
        <v>0</v>
      </c>
      <c r="L458" t="b">
        <f t="shared" si="66"/>
        <v>0</v>
      </c>
      <c r="M458" t="b">
        <f t="shared" si="67"/>
        <v>1</v>
      </c>
      <c r="N458" t="b">
        <f t="shared" si="67"/>
        <v>0</v>
      </c>
      <c r="O458" t="b">
        <f t="shared" si="68"/>
        <v>0</v>
      </c>
      <c r="P458" t="b">
        <f t="shared" si="69"/>
        <v>0</v>
      </c>
      <c r="Q458" t="b">
        <f t="shared" si="70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63"/>
        <v>WESTERN_EUROPE_NO_REGION</v>
      </c>
      <c r="I459" t="b">
        <f t="shared" si="64"/>
        <v>0</v>
      </c>
      <c r="J459" t="b">
        <f t="shared" si="71"/>
        <v>0</v>
      </c>
      <c r="K459" t="b">
        <f t="shared" si="65"/>
        <v>0</v>
      </c>
      <c r="L459" t="b">
        <f t="shared" si="66"/>
        <v>0</v>
      </c>
      <c r="M459" t="b">
        <f t="shared" si="67"/>
        <v>1</v>
      </c>
      <c r="N459" t="b">
        <f t="shared" si="67"/>
        <v>0</v>
      </c>
      <c r="O459" t="b">
        <f t="shared" si="68"/>
        <v>0</v>
      </c>
      <c r="P459" t="b">
        <f t="shared" si="69"/>
        <v>0</v>
      </c>
      <c r="Q459" t="b">
        <f t="shared" si="70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63"/>
        <v>NORTH_AMERICA_NO_REGION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0</v>
      </c>
      <c r="N460" t="b">
        <f t="shared" si="67"/>
        <v>0</v>
      </c>
      <c r="O460" t="b">
        <f t="shared" si="68"/>
        <v>1</v>
      </c>
      <c r="P460" t="b">
        <f t="shared" si="69"/>
        <v>0</v>
      </c>
      <c r="Q460" t="b">
        <f t="shared" si="70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63"/>
        <v>EASTERN_EUROPE_NO_REGION</v>
      </c>
      <c r="I461" t="b">
        <f t="shared" si="64"/>
        <v>0</v>
      </c>
      <c r="J461" t="b">
        <f t="shared" si="71"/>
        <v>0</v>
      </c>
      <c r="K461" t="b">
        <f t="shared" si="65"/>
        <v>0</v>
      </c>
      <c r="L461" t="b">
        <f t="shared" si="66"/>
        <v>1</v>
      </c>
      <c r="M461" t="b">
        <f t="shared" si="67"/>
        <v>0</v>
      </c>
      <c r="N461" t="b">
        <f t="shared" si="67"/>
        <v>0</v>
      </c>
      <c r="O461" t="b">
        <f t="shared" si="68"/>
        <v>0</v>
      </c>
      <c r="P461" t="b">
        <f t="shared" si="69"/>
        <v>0</v>
      </c>
      <c r="Q461" t="b">
        <f t="shared" si="70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63"/>
        <v>NORTHERN_EUROPE_NO_REGION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0</v>
      </c>
      <c r="M462" t="b">
        <f t="shared" si="67"/>
        <v>0</v>
      </c>
      <c r="N462" t="b">
        <f t="shared" si="67"/>
        <v>1</v>
      </c>
      <c r="O462" t="b">
        <f t="shared" si="68"/>
        <v>0</v>
      </c>
      <c r="P462" t="b">
        <f t="shared" si="69"/>
        <v>0</v>
      </c>
      <c r="Q462" t="b">
        <f t="shared" si="70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63"/>
        <v>NORTH_AMERICA_NO_REGION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0</v>
      </c>
      <c r="N463" t="b">
        <f t="shared" si="67"/>
        <v>0</v>
      </c>
      <c r="O463" t="b">
        <f t="shared" si="68"/>
        <v>1</v>
      </c>
      <c r="P463" t="b">
        <f t="shared" si="69"/>
        <v>0</v>
      </c>
      <c r="Q463" t="b">
        <f t="shared" si="70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63"/>
        <v>ALL_EUROPE_AFRICA</v>
      </c>
      <c r="I464" t="b">
        <f t="shared" si="64"/>
        <v>1</v>
      </c>
      <c r="J464" t="b">
        <f t="shared" si="71"/>
        <v>0</v>
      </c>
      <c r="K464" t="b">
        <f t="shared" si="65"/>
        <v>1</v>
      </c>
      <c r="L464" t="b">
        <f t="shared" si="66"/>
        <v>1</v>
      </c>
      <c r="M464" t="b">
        <f t="shared" si="67"/>
        <v>1</v>
      </c>
      <c r="N464" t="b">
        <f t="shared" si="67"/>
        <v>1</v>
      </c>
      <c r="O464" t="b">
        <f t="shared" si="68"/>
        <v>0</v>
      </c>
      <c r="P464" t="b">
        <f t="shared" si="69"/>
        <v>0</v>
      </c>
      <c r="Q464" t="b">
        <f t="shared" si="70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63"/>
        <v>ALL_EUROPE_AFRICA</v>
      </c>
      <c r="I465" t="b">
        <f t="shared" si="64"/>
        <v>1</v>
      </c>
      <c r="J465" t="b">
        <f t="shared" si="71"/>
        <v>0</v>
      </c>
      <c r="K465" t="b">
        <f t="shared" si="65"/>
        <v>1</v>
      </c>
      <c r="L465" t="b">
        <f t="shared" si="66"/>
        <v>1</v>
      </c>
      <c r="M465" t="b">
        <f t="shared" si="67"/>
        <v>1</v>
      </c>
      <c r="N465" t="b">
        <f t="shared" si="67"/>
        <v>1</v>
      </c>
      <c r="O465" t="b">
        <f t="shared" si="68"/>
        <v>0</v>
      </c>
      <c r="P465" t="b">
        <f t="shared" si="69"/>
        <v>0</v>
      </c>
      <c r="Q465" t="b">
        <f t="shared" si="70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63"/>
        <v>NORTHERN_EUROPE_NO_REGION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0</v>
      </c>
      <c r="M466" t="b">
        <f t="shared" si="67"/>
        <v>0</v>
      </c>
      <c r="N466" t="b">
        <f t="shared" si="67"/>
        <v>1</v>
      </c>
      <c r="O466" t="b">
        <f t="shared" si="68"/>
        <v>0</v>
      </c>
      <c r="P466" t="b">
        <f t="shared" si="69"/>
        <v>0</v>
      </c>
      <c r="Q466" t="b">
        <f t="shared" si="70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63"/>
        <v>WESTERN_EUROPE_EASTERN_EUROPE</v>
      </c>
      <c r="I467" t="b">
        <f t="shared" si="64"/>
        <v>0</v>
      </c>
      <c r="J467" t="b">
        <f t="shared" si="71"/>
        <v>0</v>
      </c>
      <c r="K467" t="b">
        <f t="shared" si="65"/>
        <v>0</v>
      </c>
      <c r="L467" t="b">
        <f t="shared" si="66"/>
        <v>1</v>
      </c>
      <c r="M467" t="b">
        <f t="shared" si="67"/>
        <v>1</v>
      </c>
      <c r="N467" t="b">
        <f t="shared" si="67"/>
        <v>0</v>
      </c>
      <c r="O467" t="b">
        <f t="shared" si="68"/>
        <v>0</v>
      </c>
      <c r="P467" t="b">
        <f t="shared" si="69"/>
        <v>0</v>
      </c>
      <c r="Q467" t="b">
        <f t="shared" si="70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63"/>
        <v>ALL_EUROPE_NORTH_AMERICA</v>
      </c>
      <c r="I468" t="b">
        <f t="shared" si="64"/>
        <v>0</v>
      </c>
      <c r="J468" t="b">
        <f t="shared" si="71"/>
        <v>0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7"/>
        <v>1</v>
      </c>
      <c r="O468" t="b">
        <f t="shared" si="68"/>
        <v>1</v>
      </c>
      <c r="P468" t="b">
        <f t="shared" si="69"/>
        <v>0</v>
      </c>
      <c r="Q468" t="b">
        <f t="shared" si="70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63"/>
        <v>NORTHERN_EUROPE_NO_REGION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0</v>
      </c>
      <c r="M469" t="b">
        <f t="shared" si="67"/>
        <v>0</v>
      </c>
      <c r="N469" t="b">
        <f t="shared" si="67"/>
        <v>1</v>
      </c>
      <c r="O469" t="b">
        <f t="shared" si="68"/>
        <v>0</v>
      </c>
      <c r="P469" t="b">
        <f t="shared" si="69"/>
        <v>0</v>
      </c>
      <c r="Q469" t="b">
        <f t="shared" si="70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63"/>
        <v>NORTHERN_EUROPE_NO_REGION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0</v>
      </c>
      <c r="M470" t="b">
        <f t="shared" si="67"/>
        <v>0</v>
      </c>
      <c r="N470" t="b">
        <f t="shared" si="67"/>
        <v>1</v>
      </c>
      <c r="O470" t="b">
        <f t="shared" si="68"/>
        <v>0</v>
      </c>
      <c r="P470" t="b">
        <f t="shared" si="69"/>
        <v>0</v>
      </c>
      <c r="Q470" t="b">
        <f t="shared" si="70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63"/>
        <v>OCEANIA_NO_REGION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7"/>
        <v>0</v>
      </c>
      <c r="O471" t="b">
        <f t="shared" si="68"/>
        <v>0</v>
      </c>
      <c r="P471" t="b">
        <f t="shared" si="69"/>
        <v>0</v>
      </c>
      <c r="Q471" t="b">
        <f t="shared" si="70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63"/>
        <v>OCEANIA_NO_REGION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7"/>
        <v>0</v>
      </c>
      <c r="O472" t="b">
        <f t="shared" si="68"/>
        <v>0</v>
      </c>
      <c r="P472" t="b">
        <f t="shared" si="69"/>
        <v>0</v>
      </c>
      <c r="Q472" t="b">
        <f t="shared" si="70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REGIONTYPE4</v>
      </c>
      <c r="G473" s="31" t="str">
        <f>_xlfn.XLOOKUP($A473,PROPERTIES[VEHIDCODE],PROPERTIES[REGION2])</f>
        <v>NO_REGION</v>
      </c>
      <c r="H473" s="31" t="str">
        <f t="shared" si="63"/>
        <v>REGIONTYPE4_NO_REGION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1</v>
      </c>
      <c r="M473" t="b">
        <f t="shared" si="67"/>
        <v>0</v>
      </c>
      <c r="N473" t="b">
        <f t="shared" si="67"/>
        <v>0</v>
      </c>
      <c r="O473" t="b">
        <f t="shared" si="68"/>
        <v>0</v>
      </c>
      <c r="P473" t="b">
        <f t="shared" si="69"/>
        <v>0</v>
      </c>
      <c r="Q473" t="b">
        <f t="shared" si="70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63"/>
        <v>NORTHERN_EUROPE_AFRICA</v>
      </c>
      <c r="I474" t="b">
        <f t="shared" si="64"/>
        <v>1</v>
      </c>
      <c r="J474" t="b">
        <f t="shared" si="71"/>
        <v>0</v>
      </c>
      <c r="K474" t="b">
        <f t="shared" si="65"/>
        <v>0</v>
      </c>
      <c r="L474" t="b">
        <f t="shared" si="66"/>
        <v>0</v>
      </c>
      <c r="M474" t="b">
        <f t="shared" si="67"/>
        <v>0</v>
      </c>
      <c r="N474" t="b">
        <f t="shared" si="67"/>
        <v>1</v>
      </c>
      <c r="O474" t="b">
        <f t="shared" si="68"/>
        <v>0</v>
      </c>
      <c r="P474" t="b">
        <f t="shared" si="69"/>
        <v>0</v>
      </c>
      <c r="Q474" t="b">
        <f t="shared" si="70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63"/>
        <v>EASTERN_EUROPE_NO_REGION</v>
      </c>
      <c r="I475" t="b">
        <f t="shared" si="64"/>
        <v>0</v>
      </c>
      <c r="J475" t="b">
        <f t="shared" si="71"/>
        <v>0</v>
      </c>
      <c r="K475" t="b">
        <f t="shared" si="65"/>
        <v>0</v>
      </c>
      <c r="L475" t="b">
        <f t="shared" si="66"/>
        <v>1</v>
      </c>
      <c r="M475" t="b">
        <f t="shared" si="67"/>
        <v>0</v>
      </c>
      <c r="N475" t="b">
        <f t="shared" si="67"/>
        <v>0</v>
      </c>
      <c r="O475" t="b">
        <f t="shared" si="68"/>
        <v>0</v>
      </c>
      <c r="P475" t="b">
        <f t="shared" si="69"/>
        <v>0</v>
      </c>
      <c r="Q475" t="b">
        <f t="shared" si="70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REGIONTYPE4</v>
      </c>
      <c r="G476" s="31" t="str">
        <f>_xlfn.XLOOKUP($A476,PROPERTIES[VEHIDCODE],PROPERTIES[REGION2])</f>
        <v>NO_REGION</v>
      </c>
      <c r="H476" s="31" t="str">
        <f t="shared" si="63"/>
        <v>REGIONTYPE4_NO_REGION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1</v>
      </c>
      <c r="M476" t="b">
        <f t="shared" si="67"/>
        <v>0</v>
      </c>
      <c r="N476" t="b">
        <f t="shared" si="67"/>
        <v>0</v>
      </c>
      <c r="O476" t="b">
        <f t="shared" si="68"/>
        <v>0</v>
      </c>
      <c r="P476" t="b">
        <f t="shared" si="69"/>
        <v>0</v>
      </c>
      <c r="Q476" t="b">
        <f t="shared" si="70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63"/>
        <v>ASIA_NO_REGION</v>
      </c>
      <c r="I477" t="b">
        <f t="shared" si="64"/>
        <v>0</v>
      </c>
      <c r="J477" t="b">
        <f t="shared" si="71"/>
        <v>1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7"/>
        <v>0</v>
      </c>
      <c r="O477" t="b">
        <f t="shared" si="68"/>
        <v>0</v>
      </c>
      <c r="P477" t="b">
        <f t="shared" si="69"/>
        <v>0</v>
      </c>
      <c r="Q477" t="b">
        <f t="shared" si="70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63"/>
        <v>EASTERN_EUROPE_NO_REGION</v>
      </c>
      <c r="I478" t="b">
        <f t="shared" si="64"/>
        <v>0</v>
      </c>
      <c r="J478" t="b">
        <f t="shared" si="71"/>
        <v>0</v>
      </c>
      <c r="K478" t="b">
        <f t="shared" si="65"/>
        <v>0</v>
      </c>
      <c r="L478" t="b">
        <f t="shared" si="66"/>
        <v>1</v>
      </c>
      <c r="M478" t="b">
        <f t="shared" si="67"/>
        <v>0</v>
      </c>
      <c r="N478" t="b">
        <f t="shared" si="67"/>
        <v>0</v>
      </c>
      <c r="O478" t="b">
        <f t="shared" si="68"/>
        <v>0</v>
      </c>
      <c r="P478" t="b">
        <f t="shared" si="69"/>
        <v>0</v>
      </c>
      <c r="Q478" t="b">
        <f t="shared" si="70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63"/>
        <v>NORTHERN_EUROPE_NO_REGION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0</v>
      </c>
      <c r="M479" t="b">
        <f t="shared" si="67"/>
        <v>0</v>
      </c>
      <c r="N479" t="b">
        <f t="shared" si="67"/>
        <v>1</v>
      </c>
      <c r="O479" t="b">
        <f t="shared" si="68"/>
        <v>0</v>
      </c>
      <c r="P479" t="b">
        <f t="shared" si="69"/>
        <v>0</v>
      </c>
      <c r="Q479" t="b">
        <f t="shared" si="70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63"/>
        <v>ASIA_NO_REGION</v>
      </c>
      <c r="I480" t="b">
        <f t="shared" si="64"/>
        <v>0</v>
      </c>
      <c r="J480" t="b">
        <f t="shared" si="71"/>
        <v>1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7"/>
        <v>0</v>
      </c>
      <c r="O480" t="b">
        <f t="shared" si="68"/>
        <v>0</v>
      </c>
      <c r="P480" t="b">
        <f t="shared" si="69"/>
        <v>0</v>
      </c>
      <c r="Q480" t="b">
        <f t="shared" si="70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63"/>
        <v>AFRICA_ALL_EUROPE</v>
      </c>
      <c r="I481" t="b">
        <f t="shared" si="64"/>
        <v>1</v>
      </c>
      <c r="J481" t="b">
        <f t="shared" si="71"/>
        <v>0</v>
      </c>
      <c r="K481" t="b">
        <f t="shared" si="65"/>
        <v>1</v>
      </c>
      <c r="L481" t="b">
        <f t="shared" si="66"/>
        <v>1</v>
      </c>
      <c r="M481" t="b">
        <f t="shared" si="67"/>
        <v>1</v>
      </c>
      <c r="N481" t="b">
        <f t="shared" si="67"/>
        <v>1</v>
      </c>
      <c r="O481" t="b">
        <f t="shared" si="68"/>
        <v>0</v>
      </c>
      <c r="P481" t="b">
        <f t="shared" si="69"/>
        <v>0</v>
      </c>
      <c r="Q481" t="b">
        <f t="shared" si="70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63"/>
        <v>OCEANIA_NO_REGION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7"/>
        <v>0</v>
      </c>
      <c r="O482" t="b">
        <f t="shared" si="68"/>
        <v>0</v>
      </c>
      <c r="P482" t="b">
        <f t="shared" si="69"/>
        <v>0</v>
      </c>
      <c r="Q482" t="b">
        <f t="shared" si="70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63"/>
        <v>OCEANIA_NO_REGION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7"/>
        <v>0</v>
      </c>
      <c r="O483" t="b">
        <f t="shared" si="68"/>
        <v>0</v>
      </c>
      <c r="P483" t="b">
        <f t="shared" si="69"/>
        <v>0</v>
      </c>
      <c r="Q483" t="b">
        <f t="shared" si="70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63"/>
        <v>ASIA_NO_REGION</v>
      </c>
      <c r="I484" t="b">
        <f t="shared" si="64"/>
        <v>0</v>
      </c>
      <c r="J484" t="b">
        <f t="shared" si="71"/>
        <v>1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7"/>
        <v>0</v>
      </c>
      <c r="O484" t="b">
        <f t="shared" si="68"/>
        <v>0</v>
      </c>
      <c r="P484" t="b">
        <f t="shared" si="69"/>
        <v>0</v>
      </c>
      <c r="Q484" t="b">
        <f t="shared" si="70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63"/>
        <v>ASIA_NO_REGION</v>
      </c>
      <c r="I485" t="b">
        <f t="shared" si="64"/>
        <v>0</v>
      </c>
      <c r="J485" t="b">
        <f t="shared" si="71"/>
        <v>1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7"/>
        <v>0</v>
      </c>
      <c r="O485" t="b">
        <f t="shared" si="68"/>
        <v>0</v>
      </c>
      <c r="P485" t="b">
        <f t="shared" si="69"/>
        <v>0</v>
      </c>
      <c r="Q485" t="b">
        <f t="shared" si="70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63"/>
        <v>EASTERN_EUROPE_NO_REGION</v>
      </c>
      <c r="I486" t="b">
        <f t="shared" si="64"/>
        <v>0</v>
      </c>
      <c r="J486" t="b">
        <f t="shared" si="71"/>
        <v>0</v>
      </c>
      <c r="K486" t="b">
        <f t="shared" si="65"/>
        <v>0</v>
      </c>
      <c r="L486" t="b">
        <f t="shared" si="66"/>
        <v>1</v>
      </c>
      <c r="M486" t="b">
        <f t="shared" si="67"/>
        <v>0</v>
      </c>
      <c r="N486" t="b">
        <f t="shared" si="67"/>
        <v>0</v>
      </c>
      <c r="O486" t="b">
        <f t="shared" si="68"/>
        <v>0</v>
      </c>
      <c r="P486" t="b">
        <f t="shared" si="69"/>
        <v>0</v>
      </c>
      <c r="Q486" t="b">
        <f t="shared" si="70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63"/>
        <v>SOUTH_AMERICA_NO_REGION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7"/>
        <v>0</v>
      </c>
      <c r="O487" t="b">
        <f t="shared" si="68"/>
        <v>0</v>
      </c>
      <c r="P487" t="b">
        <f t="shared" si="69"/>
        <v>1</v>
      </c>
      <c r="Q487" t="b">
        <f t="shared" si="70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63"/>
        <v>AFRICA_NO_REGION</v>
      </c>
      <c r="I488" t="b">
        <f t="shared" si="64"/>
        <v>1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7"/>
        <v>0</v>
      </c>
      <c r="O488" t="b">
        <f t="shared" si="68"/>
        <v>0</v>
      </c>
      <c r="P488" t="b">
        <f t="shared" si="69"/>
        <v>0</v>
      </c>
      <c r="Q488" t="b">
        <f t="shared" si="70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63"/>
        <v>NORTHERN_EUROPE_NO_REGION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0</v>
      </c>
      <c r="M489" t="b">
        <f t="shared" si="67"/>
        <v>0</v>
      </c>
      <c r="N489" t="b">
        <f t="shared" si="67"/>
        <v>1</v>
      </c>
      <c r="O489" t="b">
        <f t="shared" si="68"/>
        <v>0</v>
      </c>
      <c r="P489" t="b">
        <f t="shared" si="69"/>
        <v>0</v>
      </c>
      <c r="Q489" t="b">
        <f t="shared" si="70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63"/>
        <v>OCEANIA_NO_REGION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7"/>
        <v>0</v>
      </c>
      <c r="O490" t="b">
        <f t="shared" si="68"/>
        <v>0</v>
      </c>
      <c r="P490" t="b">
        <f t="shared" si="69"/>
        <v>0</v>
      </c>
      <c r="Q490" t="b">
        <f t="shared" si="70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63"/>
        <v>WESTERN_EUROPE_NO_REGION</v>
      </c>
      <c r="I491" t="b">
        <f t="shared" si="64"/>
        <v>0</v>
      </c>
      <c r="J491" t="b">
        <f t="shared" si="71"/>
        <v>0</v>
      </c>
      <c r="K491" t="b">
        <f t="shared" si="65"/>
        <v>0</v>
      </c>
      <c r="L491" t="b">
        <f t="shared" si="66"/>
        <v>0</v>
      </c>
      <c r="M491" t="b">
        <f t="shared" si="67"/>
        <v>1</v>
      </c>
      <c r="N491" t="b">
        <f t="shared" si="67"/>
        <v>0</v>
      </c>
      <c r="O491" t="b">
        <f t="shared" si="68"/>
        <v>0</v>
      </c>
      <c r="P491" t="b">
        <f t="shared" si="69"/>
        <v>0</v>
      </c>
      <c r="Q491" t="b">
        <f t="shared" si="70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63"/>
        <v>WESTERN_EUROPE_NO_REGION</v>
      </c>
      <c r="I492" t="b">
        <f t="shared" si="64"/>
        <v>0</v>
      </c>
      <c r="J492" t="b">
        <f t="shared" si="71"/>
        <v>0</v>
      </c>
      <c r="K492" t="b">
        <f t="shared" si="65"/>
        <v>0</v>
      </c>
      <c r="L492" t="b">
        <f t="shared" si="66"/>
        <v>0</v>
      </c>
      <c r="M492" t="b">
        <f t="shared" si="67"/>
        <v>1</v>
      </c>
      <c r="N492" t="b">
        <f t="shared" si="67"/>
        <v>0</v>
      </c>
      <c r="O492" t="b">
        <f t="shared" si="68"/>
        <v>0</v>
      </c>
      <c r="P492" t="b">
        <f t="shared" si="69"/>
        <v>0</v>
      </c>
      <c r="Q492" t="b">
        <f t="shared" si="70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63"/>
        <v>ALL_EUROPE_SOUTH_AMERICA</v>
      </c>
      <c r="I493" t="b">
        <f t="shared" si="64"/>
        <v>0</v>
      </c>
      <c r="J493" t="b">
        <f t="shared" si="71"/>
        <v>0</v>
      </c>
      <c r="K493" t="b">
        <f t="shared" si="65"/>
        <v>1</v>
      </c>
      <c r="L493" t="b">
        <f t="shared" si="66"/>
        <v>1</v>
      </c>
      <c r="M493" t="b">
        <f t="shared" si="67"/>
        <v>1</v>
      </c>
      <c r="N493" t="b">
        <f t="shared" si="67"/>
        <v>1</v>
      </c>
      <c r="O493" t="b">
        <f t="shared" si="68"/>
        <v>0</v>
      </c>
      <c r="P493" t="b">
        <f t="shared" si="69"/>
        <v>1</v>
      </c>
      <c r="Q493" t="b">
        <f t="shared" si="70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NO_REGION</v>
      </c>
      <c r="H494" s="31" t="str">
        <f t="shared" si="63"/>
        <v>WESTERN_EUROPE_NO_REGION</v>
      </c>
      <c r="I494" t="b">
        <f t="shared" si="64"/>
        <v>0</v>
      </c>
      <c r="J494" t="b">
        <f t="shared" si="71"/>
        <v>0</v>
      </c>
      <c r="K494" t="b">
        <f t="shared" si="65"/>
        <v>0</v>
      </c>
      <c r="L494" t="b">
        <f t="shared" si="66"/>
        <v>0</v>
      </c>
      <c r="M494" t="b">
        <f t="shared" si="67"/>
        <v>1</v>
      </c>
      <c r="N494" t="b">
        <f t="shared" si="67"/>
        <v>0</v>
      </c>
      <c r="O494" t="b">
        <f t="shared" si="68"/>
        <v>0</v>
      </c>
      <c r="P494" t="b">
        <f t="shared" si="69"/>
        <v>0</v>
      </c>
      <c r="Q494" t="b">
        <f t="shared" si="70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63"/>
        <v>AFRICA_NO_REGION</v>
      </c>
      <c r="I495" t="b">
        <f t="shared" si="64"/>
        <v>1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7"/>
        <v>0</v>
      </c>
      <c r="O495" t="b">
        <f t="shared" si="68"/>
        <v>0</v>
      </c>
      <c r="P495" t="b">
        <f t="shared" si="69"/>
        <v>0</v>
      </c>
      <c r="Q495" t="b">
        <f t="shared" si="70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63"/>
        <v>AFRICA_NO_REGION</v>
      </c>
      <c r="I496" t="b">
        <f t="shared" si="64"/>
        <v>1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7"/>
        <v>0</v>
      </c>
      <c r="O496" t="b">
        <f t="shared" si="68"/>
        <v>0</v>
      </c>
      <c r="P496" t="b">
        <f t="shared" si="69"/>
        <v>0</v>
      </c>
      <c r="Q496" t="b">
        <f t="shared" si="70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63"/>
        <v>AFRICA_NO_REGION</v>
      </c>
      <c r="I497" t="b">
        <f t="shared" si="64"/>
        <v>1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7"/>
        <v>0</v>
      </c>
      <c r="O497" t="b">
        <f t="shared" si="68"/>
        <v>0</v>
      </c>
      <c r="P497" t="b">
        <f t="shared" si="69"/>
        <v>0</v>
      </c>
      <c r="Q497" t="b">
        <f t="shared" si="70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63"/>
        <v>OCEANIA_NO_REGION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7"/>
        <v>0</v>
      </c>
      <c r="O498" t="b">
        <f t="shared" si="68"/>
        <v>0</v>
      </c>
      <c r="P498" t="b">
        <f t="shared" si="69"/>
        <v>0</v>
      </c>
      <c r="Q498" t="b">
        <f t="shared" si="70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63"/>
        <v>NORTH_AMERICA_NO_REGION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0</v>
      </c>
      <c r="N499" t="b">
        <f t="shared" si="67"/>
        <v>0</v>
      </c>
      <c r="O499" t="b">
        <f t="shared" si="68"/>
        <v>1</v>
      </c>
      <c r="P499" t="b">
        <f t="shared" si="69"/>
        <v>0</v>
      </c>
      <c r="Q499" t="b">
        <f t="shared" si="70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63"/>
        <v>SOUTH_AMERICA_NO_REGION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7"/>
        <v>0</v>
      </c>
      <c r="O500" t="b">
        <f t="shared" si="68"/>
        <v>0</v>
      </c>
      <c r="P500" t="b">
        <f t="shared" si="69"/>
        <v>1</v>
      </c>
      <c r="Q500" t="b">
        <f t="shared" si="70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63"/>
        <v>SOUTHERN_EUROPE_NO_REGION</v>
      </c>
      <c r="I501" t="b">
        <f t="shared" si="64"/>
        <v>0</v>
      </c>
      <c r="J501" t="b">
        <f t="shared" si="71"/>
        <v>0</v>
      </c>
      <c r="K501" t="b">
        <f t="shared" si="65"/>
        <v>1</v>
      </c>
      <c r="L501" t="b">
        <f t="shared" si="66"/>
        <v>0</v>
      </c>
      <c r="M501" t="b">
        <f t="shared" si="67"/>
        <v>0</v>
      </c>
      <c r="N501" t="b">
        <f t="shared" si="67"/>
        <v>0</v>
      </c>
      <c r="O501" t="b">
        <f t="shared" si="68"/>
        <v>0</v>
      </c>
      <c r="P501" t="b">
        <f t="shared" si="69"/>
        <v>0</v>
      </c>
      <c r="Q501" t="b">
        <f t="shared" si="70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63"/>
        <v>SOUTHERN_EUROPE_NO_REGION</v>
      </c>
      <c r="I502" t="b">
        <f t="shared" si="64"/>
        <v>0</v>
      </c>
      <c r="J502" t="b">
        <f t="shared" si="71"/>
        <v>0</v>
      </c>
      <c r="K502" t="b">
        <f t="shared" si="65"/>
        <v>1</v>
      </c>
      <c r="L502" t="b">
        <f t="shared" si="66"/>
        <v>0</v>
      </c>
      <c r="M502" t="b">
        <f t="shared" si="67"/>
        <v>0</v>
      </c>
      <c r="N502" t="b">
        <f t="shared" si="67"/>
        <v>0</v>
      </c>
      <c r="O502" t="b">
        <f t="shared" si="68"/>
        <v>0</v>
      </c>
      <c r="P502" t="b">
        <f t="shared" si="69"/>
        <v>0</v>
      </c>
      <c r="Q502" t="b">
        <f t="shared" si="70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63"/>
        <v>SOUTHERN_EUROPE_NO_REGION</v>
      </c>
      <c r="I503" t="b">
        <f t="shared" si="64"/>
        <v>0</v>
      </c>
      <c r="J503" t="b">
        <f t="shared" si="71"/>
        <v>0</v>
      </c>
      <c r="K503" t="b">
        <f t="shared" si="65"/>
        <v>1</v>
      </c>
      <c r="L503" t="b">
        <f t="shared" si="66"/>
        <v>0</v>
      </c>
      <c r="M503" t="b">
        <f t="shared" si="67"/>
        <v>0</v>
      </c>
      <c r="N503" t="b">
        <f t="shared" si="67"/>
        <v>0</v>
      </c>
      <c r="O503" t="b">
        <f t="shared" si="68"/>
        <v>0</v>
      </c>
      <c r="P503" t="b">
        <f t="shared" si="69"/>
        <v>0</v>
      </c>
      <c r="Q503" t="b">
        <f t="shared" si="70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63"/>
        <v>SOUTHERN_EUROPE_NO_REGION</v>
      </c>
      <c r="I504" t="b">
        <f t="shared" si="64"/>
        <v>0</v>
      </c>
      <c r="J504" t="b">
        <f t="shared" si="71"/>
        <v>0</v>
      </c>
      <c r="K504" t="b">
        <f t="shared" si="65"/>
        <v>1</v>
      </c>
      <c r="L504" t="b">
        <f t="shared" si="66"/>
        <v>0</v>
      </c>
      <c r="M504" t="b">
        <f t="shared" si="67"/>
        <v>0</v>
      </c>
      <c r="N504" t="b">
        <f t="shared" si="67"/>
        <v>0</v>
      </c>
      <c r="O504" t="b">
        <f t="shared" si="68"/>
        <v>0</v>
      </c>
      <c r="P504" t="b">
        <f t="shared" si="69"/>
        <v>0</v>
      </c>
      <c r="Q504" t="b">
        <f t="shared" si="70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63"/>
        <v>WESTERN_EUROPE_NO_REGION</v>
      </c>
      <c r="I505" t="b">
        <f t="shared" si="64"/>
        <v>0</v>
      </c>
      <c r="J505" t="b">
        <f t="shared" si="71"/>
        <v>0</v>
      </c>
      <c r="K505" t="b">
        <f t="shared" si="65"/>
        <v>0</v>
      </c>
      <c r="L505" t="b">
        <f t="shared" si="66"/>
        <v>0</v>
      </c>
      <c r="M505" t="b">
        <f t="shared" si="67"/>
        <v>1</v>
      </c>
      <c r="N505" t="b">
        <f t="shared" si="67"/>
        <v>0</v>
      </c>
      <c r="O505" t="b">
        <f t="shared" si="68"/>
        <v>0</v>
      </c>
      <c r="P505" t="b">
        <f t="shared" si="69"/>
        <v>0</v>
      </c>
      <c r="Q505" t="b">
        <f t="shared" si="70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63"/>
        <v>OCEANIA_NO_REGION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7"/>
        <v>0</v>
      </c>
      <c r="O506" t="b">
        <f t="shared" si="68"/>
        <v>0</v>
      </c>
      <c r="P506" t="b">
        <f t="shared" si="69"/>
        <v>0</v>
      </c>
      <c r="Q506" t="b">
        <f t="shared" si="70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63"/>
        <v>NORTHERN_EUROPE_NO_REGION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0</v>
      </c>
      <c r="M507" t="b">
        <f t="shared" si="67"/>
        <v>0</v>
      </c>
      <c r="N507" t="b">
        <f t="shared" si="67"/>
        <v>1</v>
      </c>
      <c r="O507" t="b">
        <f t="shared" si="68"/>
        <v>0</v>
      </c>
      <c r="P507" t="b">
        <f t="shared" si="69"/>
        <v>0</v>
      </c>
      <c r="Q507" t="b">
        <f t="shared" si="70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63"/>
        <v>NORTHERN_EUROPE_NO_REGION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0</v>
      </c>
      <c r="M508" t="b">
        <f t="shared" si="67"/>
        <v>0</v>
      </c>
      <c r="N508" t="b">
        <f t="shared" si="67"/>
        <v>1</v>
      </c>
      <c r="O508" t="b">
        <f t="shared" si="68"/>
        <v>0</v>
      </c>
      <c r="P508" t="b">
        <f t="shared" si="69"/>
        <v>0</v>
      </c>
      <c r="Q508" t="b">
        <f t="shared" si="70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63"/>
        <v>SOUTHERN_EUROPE_NO_REGION</v>
      </c>
      <c r="I509" t="b">
        <f t="shared" si="64"/>
        <v>0</v>
      </c>
      <c r="J509" t="b">
        <f t="shared" si="71"/>
        <v>0</v>
      </c>
      <c r="K509" t="b">
        <f t="shared" si="65"/>
        <v>1</v>
      </c>
      <c r="L509" t="b">
        <f t="shared" si="66"/>
        <v>0</v>
      </c>
      <c r="M509" t="b">
        <f t="shared" si="67"/>
        <v>0</v>
      </c>
      <c r="N509" t="b">
        <f t="shared" si="67"/>
        <v>0</v>
      </c>
      <c r="O509" t="b">
        <f t="shared" si="68"/>
        <v>0</v>
      </c>
      <c r="P509" t="b">
        <f t="shared" si="69"/>
        <v>0</v>
      </c>
      <c r="Q509" t="b">
        <f t="shared" si="70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63"/>
        <v>WESTERN_EUROPE_NO_REGION</v>
      </c>
      <c r="I510" t="b">
        <f t="shared" si="64"/>
        <v>0</v>
      </c>
      <c r="J510" t="b">
        <f t="shared" si="71"/>
        <v>0</v>
      </c>
      <c r="K510" t="b">
        <f t="shared" si="65"/>
        <v>0</v>
      </c>
      <c r="L510" t="b">
        <f t="shared" si="66"/>
        <v>0</v>
      </c>
      <c r="M510" t="b">
        <f t="shared" si="67"/>
        <v>1</v>
      </c>
      <c r="N510" t="b">
        <f t="shared" si="67"/>
        <v>0</v>
      </c>
      <c r="O510" t="b">
        <f t="shared" si="68"/>
        <v>0</v>
      </c>
      <c r="P510" t="b">
        <f t="shared" si="69"/>
        <v>0</v>
      </c>
      <c r="Q510" t="b">
        <f t="shared" si="70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63"/>
        <v>WESTERN_EUROPE_NO_REGION</v>
      </c>
      <c r="I511" t="b">
        <f t="shared" si="64"/>
        <v>0</v>
      </c>
      <c r="J511" t="b">
        <f t="shared" si="71"/>
        <v>0</v>
      </c>
      <c r="K511" t="b">
        <f t="shared" si="65"/>
        <v>0</v>
      </c>
      <c r="L511" t="b">
        <f t="shared" si="66"/>
        <v>0</v>
      </c>
      <c r="M511" t="b">
        <f t="shared" si="67"/>
        <v>1</v>
      </c>
      <c r="N511" t="b">
        <f t="shared" si="67"/>
        <v>0</v>
      </c>
      <c r="O511" t="b">
        <f t="shared" si="68"/>
        <v>0</v>
      </c>
      <c r="P511" t="b">
        <f t="shared" si="69"/>
        <v>0</v>
      </c>
      <c r="Q511" t="b">
        <f t="shared" si="70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63"/>
        <v>WESTERN_EUROPE_NO_REGION</v>
      </c>
      <c r="I512" t="b">
        <f t="shared" si="64"/>
        <v>0</v>
      </c>
      <c r="J512" t="b">
        <f t="shared" si="71"/>
        <v>0</v>
      </c>
      <c r="K512" t="b">
        <f t="shared" si="65"/>
        <v>0</v>
      </c>
      <c r="L512" t="b">
        <f t="shared" si="66"/>
        <v>0</v>
      </c>
      <c r="M512" t="b">
        <f t="shared" si="67"/>
        <v>1</v>
      </c>
      <c r="N512" t="b">
        <f t="shared" si="67"/>
        <v>0</v>
      </c>
      <c r="O512" t="b">
        <f t="shared" si="68"/>
        <v>0</v>
      </c>
      <c r="P512" t="b">
        <f t="shared" si="69"/>
        <v>0</v>
      </c>
      <c r="Q512" t="b">
        <f t="shared" si="70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63"/>
        <v>WESTERN_EUROPE_NO_REGION</v>
      </c>
      <c r="I513" t="b">
        <f t="shared" si="64"/>
        <v>0</v>
      </c>
      <c r="J513" t="b">
        <f t="shared" si="71"/>
        <v>0</v>
      </c>
      <c r="K513" t="b">
        <f t="shared" si="65"/>
        <v>0</v>
      </c>
      <c r="L513" t="b">
        <f t="shared" si="66"/>
        <v>0</v>
      </c>
      <c r="M513" t="b">
        <f t="shared" si="67"/>
        <v>1</v>
      </c>
      <c r="N513" t="b">
        <f t="shared" si="67"/>
        <v>0</v>
      </c>
      <c r="O513" t="b">
        <f t="shared" si="68"/>
        <v>0</v>
      </c>
      <c r="P513" t="b">
        <f t="shared" si="69"/>
        <v>0</v>
      </c>
      <c r="Q513" t="b">
        <f t="shared" si="70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63"/>
        <v>WESTERN_EUROPE_NO_REGION</v>
      </c>
      <c r="I514" t="b">
        <f t="shared" si="64"/>
        <v>0</v>
      </c>
      <c r="J514" t="b">
        <f t="shared" si="71"/>
        <v>0</v>
      </c>
      <c r="K514" t="b">
        <f t="shared" si="65"/>
        <v>0</v>
      </c>
      <c r="L514" t="b">
        <f t="shared" si="66"/>
        <v>0</v>
      </c>
      <c r="M514" t="b">
        <f t="shared" si="67"/>
        <v>1</v>
      </c>
      <c r="N514" t="b">
        <f t="shared" si="67"/>
        <v>0</v>
      </c>
      <c r="O514" t="b">
        <f t="shared" si="68"/>
        <v>0</v>
      </c>
      <c r="P514" t="b">
        <f t="shared" si="69"/>
        <v>0</v>
      </c>
      <c r="Q514" t="b">
        <f t="shared" si="70"/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72">_xlfn.CONCAT($F515,"_",$G515)</f>
        <v>WESTERN_EUROPE_NO_REGION</v>
      </c>
      <c r="I515" t="b">
        <f t="shared" ref="I515:I578" si="73">OR(ISNUMBER(SEARCH("ALL_REGION",$H515)),
ISNUMBER(SEARCH("AFRICA",$H515)),
ISNUMBER(SEARCH("REGIONTYPE1",$H515)),
ISNUMBER(SEARCH("REGIONTYPE2",$H515)))</f>
        <v>0</v>
      </c>
      <c r="J515" t="b">
        <f t="shared" si="71"/>
        <v>0</v>
      </c>
      <c r="K515" t="b">
        <f t="shared" ref="K515:K578" si="74">OR(ISNUMBER(SEARCH("ALL_REGION",$H515)),
ISNUMBER(SEARCH("ALL_EUROPE",$H515)),
ISNUMBER(SEARCH(K$1,$H515)),
ISNUMBER(SEARCH("REGIONTYPE1",$H515)))</f>
        <v>0</v>
      </c>
      <c r="L515" t="b">
        <f t="shared" ref="L515:L578" si="75">OR(ISNUMBER(SEARCH("ALL_REGION",$H515)),
ISNUMBER(SEARCH("ALL_EUROPE",$H515)),
ISNUMBER(SEARCH(L$1,$H515)),
ISNUMBER(SEARCH("REGIONTYPE1",$H515)),
ISNUMBER(SEARCH("REGIONTYPE4",$H515)),
ISNUMBER(SEARCH("REGIONTYPE5",$H515)))</f>
        <v>0</v>
      </c>
      <c r="M515" t="b">
        <f t="shared" ref="M515:N578" si="76">OR(ISNUMBER(SEARCH("ALL_REGION",$H515)),
ISNUMBER(SEARCH("ALL_EUROPE",$H515)),
ISNUMBER(SEARCH(M$1,$H515)),
ISNUMBER(SEARCH("REGIONTYPE1",$H515)),
ISNUMBER(SEARCH("REGIONTYPE6",$H515)))</f>
        <v>1</v>
      </c>
      <c r="N515" t="b">
        <f t="shared" si="76"/>
        <v>0</v>
      </c>
      <c r="O515" t="b">
        <f t="shared" ref="O515:O578" si="77">OR(ISNUMBER(SEARCH("ALL_REGION",$H515)),
ISNUMBER(SEARCH("ALL_AMERICA",$H515)),
ISNUMBER(SEARCH(O$1,$H515)),
ISNUMBER(SEARCH("REGIONTYPE2",$H515)))</f>
        <v>0</v>
      </c>
      <c r="P515" t="b">
        <f t="shared" ref="P515:P578" si="78">OR(ISNUMBER(SEARCH("ALL_REGION",$H515)),
ISNUMBER(SEARCH("ALL_AMERICA",$H515)),
ISNUMBER(SEARCH(P$1,$H515)),
ISNUMBER(SEARCH("REGIONTYPE2",$H515)),
ISNUMBER(SEARCH("REGIONTYPE5",$H515)))</f>
        <v>0</v>
      </c>
      <c r="Q515" t="b">
        <f t="shared" ref="Q515:Q578" si="79">OR(ISNUMBER(SEARCH("ALL_REGION",$H515)),
ISNUMBER(SEARCH(Q$1,$H515)),
ISNUMBER(SEARCH("REGIONTYPE3",$H515)))</f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72"/>
        <v>WESTERN_EUROPE_NO_REGION</v>
      </c>
      <c r="I516" t="b">
        <f t="shared" si="73"/>
        <v>0</v>
      </c>
      <c r="J516" t="b">
        <f t="shared" ref="J516:J579" si="80">OR(ISNUMBER(SEARCH("ALL_REGION",$H516)),
ISNUMBER(SEARCH("ASIA",$H516)),
ISNUMBER(SEARCH("REGIONTYPE1",$H516)),
ISNUMBER(SEARCH("REGIONTYPE2",$H516)),
ISNUMBER(SEARCH("REGIONTYPE3",$H516)),
ISNUMBER(SEARCH("REGIONTYPE4",$H516)))</f>
        <v>0</v>
      </c>
      <c r="K516" t="b">
        <f t="shared" si="74"/>
        <v>0</v>
      </c>
      <c r="L516" t="b">
        <f t="shared" si="75"/>
        <v>0</v>
      </c>
      <c r="M516" t="b">
        <f t="shared" si="76"/>
        <v>1</v>
      </c>
      <c r="N516" t="b">
        <f t="shared" si="76"/>
        <v>0</v>
      </c>
      <c r="O516" t="b">
        <f t="shared" si="77"/>
        <v>0</v>
      </c>
      <c r="P516" t="b">
        <f t="shared" si="78"/>
        <v>0</v>
      </c>
      <c r="Q516" t="b">
        <f t="shared" si="79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72"/>
        <v>EASTERN_EUROPE_NO_REGION</v>
      </c>
      <c r="I517" t="b">
        <f t="shared" si="73"/>
        <v>0</v>
      </c>
      <c r="J517" t="b">
        <f t="shared" si="80"/>
        <v>0</v>
      </c>
      <c r="K517" t="b">
        <f t="shared" si="74"/>
        <v>0</v>
      </c>
      <c r="L517" t="b">
        <f t="shared" si="75"/>
        <v>1</v>
      </c>
      <c r="M517" t="b">
        <f t="shared" si="76"/>
        <v>0</v>
      </c>
      <c r="N517" t="b">
        <f t="shared" si="76"/>
        <v>0</v>
      </c>
      <c r="O517" t="b">
        <f t="shared" si="77"/>
        <v>0</v>
      </c>
      <c r="P517" t="b">
        <f t="shared" si="78"/>
        <v>0</v>
      </c>
      <c r="Q517" t="b">
        <f t="shared" si="79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72"/>
        <v>SOUTHERN_EUROPE_NO_REGION</v>
      </c>
      <c r="I518" t="b">
        <f t="shared" si="73"/>
        <v>0</v>
      </c>
      <c r="J518" t="b">
        <f t="shared" si="80"/>
        <v>0</v>
      </c>
      <c r="K518" t="b">
        <f t="shared" si="74"/>
        <v>1</v>
      </c>
      <c r="L518" t="b">
        <f t="shared" si="75"/>
        <v>0</v>
      </c>
      <c r="M518" t="b">
        <f t="shared" si="76"/>
        <v>0</v>
      </c>
      <c r="N518" t="b">
        <f t="shared" si="76"/>
        <v>0</v>
      </c>
      <c r="O518" t="b">
        <f t="shared" si="77"/>
        <v>0</v>
      </c>
      <c r="P518" t="b">
        <f t="shared" si="78"/>
        <v>0</v>
      </c>
      <c r="Q518" t="b">
        <f t="shared" si="79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72"/>
        <v>SOUTHERN_EUROPE_NO_REGION</v>
      </c>
      <c r="I519" t="b">
        <f t="shared" si="73"/>
        <v>0</v>
      </c>
      <c r="J519" t="b">
        <f t="shared" si="80"/>
        <v>0</v>
      </c>
      <c r="K519" t="b">
        <f t="shared" si="74"/>
        <v>1</v>
      </c>
      <c r="L519" t="b">
        <f t="shared" si="75"/>
        <v>0</v>
      </c>
      <c r="M519" t="b">
        <f t="shared" si="76"/>
        <v>0</v>
      </c>
      <c r="N519" t="b">
        <f t="shared" si="76"/>
        <v>0</v>
      </c>
      <c r="O519" t="b">
        <f t="shared" si="77"/>
        <v>0</v>
      </c>
      <c r="P519" t="b">
        <f t="shared" si="78"/>
        <v>0</v>
      </c>
      <c r="Q519" t="b">
        <f t="shared" si="79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72"/>
        <v>SOUTHERN_EUROPE_NO_REGION</v>
      </c>
      <c r="I520" t="b">
        <f t="shared" si="73"/>
        <v>0</v>
      </c>
      <c r="J520" t="b">
        <f t="shared" si="80"/>
        <v>0</v>
      </c>
      <c r="K520" t="b">
        <f t="shared" si="74"/>
        <v>1</v>
      </c>
      <c r="L520" t="b">
        <f t="shared" si="75"/>
        <v>0</v>
      </c>
      <c r="M520" t="b">
        <f t="shared" si="76"/>
        <v>0</v>
      </c>
      <c r="N520" t="b">
        <f t="shared" si="76"/>
        <v>0</v>
      </c>
      <c r="O520" t="b">
        <f t="shared" si="77"/>
        <v>0</v>
      </c>
      <c r="P520" t="b">
        <f t="shared" si="78"/>
        <v>0</v>
      </c>
      <c r="Q520" t="b">
        <f t="shared" si="79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72"/>
        <v>SOUTHERN_EUROPE_NO_REGION</v>
      </c>
      <c r="I521" t="b">
        <f t="shared" si="73"/>
        <v>0</v>
      </c>
      <c r="J521" t="b">
        <f t="shared" si="80"/>
        <v>0</v>
      </c>
      <c r="K521" t="b">
        <f t="shared" si="74"/>
        <v>1</v>
      </c>
      <c r="L521" t="b">
        <f t="shared" si="75"/>
        <v>0</v>
      </c>
      <c r="M521" t="b">
        <f t="shared" si="76"/>
        <v>0</v>
      </c>
      <c r="N521" t="b">
        <f t="shared" si="76"/>
        <v>0</v>
      </c>
      <c r="O521" t="b">
        <f t="shared" si="77"/>
        <v>0</v>
      </c>
      <c r="P521" t="b">
        <f t="shared" si="78"/>
        <v>0</v>
      </c>
      <c r="Q521" t="b">
        <f t="shared" si="79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72"/>
        <v>AFRICA_NO_REGION</v>
      </c>
      <c r="I522" t="b">
        <f t="shared" si="73"/>
        <v>1</v>
      </c>
      <c r="J522" t="b">
        <f t="shared" si="80"/>
        <v>0</v>
      </c>
      <c r="K522" t="b">
        <f t="shared" si="74"/>
        <v>0</v>
      </c>
      <c r="L522" t="b">
        <f t="shared" si="75"/>
        <v>0</v>
      </c>
      <c r="M522" t="b">
        <f t="shared" si="76"/>
        <v>0</v>
      </c>
      <c r="N522" t="b">
        <f t="shared" si="76"/>
        <v>0</v>
      </c>
      <c r="O522" t="b">
        <f t="shared" si="77"/>
        <v>0</v>
      </c>
      <c r="P522" t="b">
        <f t="shared" si="78"/>
        <v>0</v>
      </c>
      <c r="Q522" t="b">
        <f t="shared" si="79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72"/>
        <v>EASTERN_EUROPE_NO_REGION</v>
      </c>
      <c r="I523" t="b">
        <f t="shared" si="73"/>
        <v>0</v>
      </c>
      <c r="J523" t="b">
        <f t="shared" si="80"/>
        <v>0</v>
      </c>
      <c r="K523" t="b">
        <f t="shared" si="74"/>
        <v>0</v>
      </c>
      <c r="L523" t="b">
        <f t="shared" si="75"/>
        <v>1</v>
      </c>
      <c r="M523" t="b">
        <f t="shared" si="76"/>
        <v>0</v>
      </c>
      <c r="N523" t="b">
        <f t="shared" si="76"/>
        <v>0</v>
      </c>
      <c r="O523" t="b">
        <f t="shared" si="77"/>
        <v>0</v>
      </c>
      <c r="P523" t="b">
        <f t="shared" si="78"/>
        <v>0</v>
      </c>
      <c r="Q523" t="b">
        <f t="shared" si="79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72"/>
        <v>SOUTHERN_EUROPE_NO_REGION</v>
      </c>
      <c r="I524" t="b">
        <f t="shared" si="73"/>
        <v>0</v>
      </c>
      <c r="J524" t="b">
        <f t="shared" si="80"/>
        <v>0</v>
      </c>
      <c r="K524" t="b">
        <f t="shared" si="74"/>
        <v>1</v>
      </c>
      <c r="L524" t="b">
        <f t="shared" si="75"/>
        <v>0</v>
      </c>
      <c r="M524" t="b">
        <f t="shared" si="76"/>
        <v>0</v>
      </c>
      <c r="N524" t="b">
        <f t="shared" si="76"/>
        <v>0</v>
      </c>
      <c r="O524" t="b">
        <f t="shared" si="77"/>
        <v>0</v>
      </c>
      <c r="P524" t="b">
        <f t="shared" si="78"/>
        <v>0</v>
      </c>
      <c r="Q524" t="b">
        <f t="shared" si="79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72"/>
        <v>WESTERN_EUROPE_NO_REGION</v>
      </c>
      <c r="I525" t="b">
        <f t="shared" si="73"/>
        <v>0</v>
      </c>
      <c r="J525" t="b">
        <f t="shared" si="80"/>
        <v>0</v>
      </c>
      <c r="K525" t="b">
        <f t="shared" si="74"/>
        <v>0</v>
      </c>
      <c r="L525" t="b">
        <f t="shared" si="75"/>
        <v>0</v>
      </c>
      <c r="M525" t="b">
        <f t="shared" si="76"/>
        <v>1</v>
      </c>
      <c r="N525" t="b">
        <f t="shared" si="76"/>
        <v>0</v>
      </c>
      <c r="O525" t="b">
        <f t="shared" si="77"/>
        <v>0</v>
      </c>
      <c r="P525" t="b">
        <f t="shared" si="78"/>
        <v>0</v>
      </c>
      <c r="Q525" t="b">
        <f t="shared" si="79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72"/>
        <v>WESTERN_EUROPE_NO_REGION</v>
      </c>
      <c r="I526" t="b">
        <f t="shared" si="73"/>
        <v>0</v>
      </c>
      <c r="J526" t="b">
        <f t="shared" si="80"/>
        <v>0</v>
      </c>
      <c r="K526" t="b">
        <f t="shared" si="74"/>
        <v>0</v>
      </c>
      <c r="L526" t="b">
        <f t="shared" si="75"/>
        <v>0</v>
      </c>
      <c r="M526" t="b">
        <f t="shared" si="76"/>
        <v>1</v>
      </c>
      <c r="N526" t="b">
        <f t="shared" si="76"/>
        <v>0</v>
      </c>
      <c r="O526" t="b">
        <f t="shared" si="77"/>
        <v>0</v>
      </c>
      <c r="P526" t="b">
        <f t="shared" si="78"/>
        <v>0</v>
      </c>
      <c r="Q526" t="b">
        <f t="shared" si="79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72"/>
        <v>WESTERN_EUROPE_NO_REGION</v>
      </c>
      <c r="I527" t="b">
        <f t="shared" si="73"/>
        <v>0</v>
      </c>
      <c r="J527" t="b">
        <f t="shared" si="80"/>
        <v>0</v>
      </c>
      <c r="K527" t="b">
        <f t="shared" si="74"/>
        <v>0</v>
      </c>
      <c r="L527" t="b">
        <f t="shared" si="75"/>
        <v>0</v>
      </c>
      <c r="M527" t="b">
        <f t="shared" si="76"/>
        <v>1</v>
      </c>
      <c r="N527" t="b">
        <f t="shared" si="76"/>
        <v>0</v>
      </c>
      <c r="O527" t="b">
        <f t="shared" si="77"/>
        <v>0</v>
      </c>
      <c r="P527" t="b">
        <f t="shared" si="78"/>
        <v>0</v>
      </c>
      <c r="Q527" t="b">
        <f t="shared" si="79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72"/>
        <v>WESTERN_EUROPE_NO_REGION</v>
      </c>
      <c r="I528" t="b">
        <f t="shared" si="73"/>
        <v>0</v>
      </c>
      <c r="J528" t="b">
        <f t="shared" si="80"/>
        <v>0</v>
      </c>
      <c r="K528" t="b">
        <f t="shared" si="74"/>
        <v>0</v>
      </c>
      <c r="L528" t="b">
        <f t="shared" si="75"/>
        <v>0</v>
      </c>
      <c r="M528" t="b">
        <f t="shared" si="76"/>
        <v>1</v>
      </c>
      <c r="N528" t="b">
        <f t="shared" si="76"/>
        <v>0</v>
      </c>
      <c r="O528" t="b">
        <f t="shared" si="77"/>
        <v>0</v>
      </c>
      <c r="P528" t="b">
        <f t="shared" si="78"/>
        <v>0</v>
      </c>
      <c r="Q528" t="b">
        <f t="shared" si="79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72"/>
        <v>NORTHERN_EUROPE_NO_REGION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0</v>
      </c>
      <c r="M529" t="b">
        <f t="shared" si="76"/>
        <v>0</v>
      </c>
      <c r="N529" t="b">
        <f t="shared" si="76"/>
        <v>1</v>
      </c>
      <c r="O529" t="b">
        <f t="shared" si="77"/>
        <v>0</v>
      </c>
      <c r="P529" t="b">
        <f t="shared" si="78"/>
        <v>0</v>
      </c>
      <c r="Q529" t="b">
        <f t="shared" si="79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72"/>
        <v>NORTHERN_EUROPE_NO_REGION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0</v>
      </c>
      <c r="M530" t="b">
        <f t="shared" si="76"/>
        <v>0</v>
      </c>
      <c r="N530" t="b">
        <f t="shared" si="76"/>
        <v>1</v>
      </c>
      <c r="O530" t="b">
        <f t="shared" si="77"/>
        <v>0</v>
      </c>
      <c r="P530" t="b">
        <f t="shared" si="78"/>
        <v>0</v>
      </c>
      <c r="Q530" t="b">
        <f t="shared" si="79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REGIONTYPE3</v>
      </c>
      <c r="H531" s="31" t="str">
        <f t="shared" si="72"/>
        <v>NORTHERN_EUROPE_REGIONTYPE3</v>
      </c>
      <c r="I531" t="b">
        <f t="shared" si="73"/>
        <v>0</v>
      </c>
      <c r="J531" t="b">
        <f t="shared" si="80"/>
        <v>1</v>
      </c>
      <c r="K531" t="b">
        <f t="shared" si="74"/>
        <v>0</v>
      </c>
      <c r="L531" t="b">
        <f t="shared" si="75"/>
        <v>0</v>
      </c>
      <c r="M531" t="b">
        <f t="shared" si="76"/>
        <v>0</v>
      </c>
      <c r="N531" t="b">
        <f t="shared" si="76"/>
        <v>1</v>
      </c>
      <c r="O531" t="b">
        <f t="shared" si="77"/>
        <v>0</v>
      </c>
      <c r="P531" t="b">
        <f t="shared" si="78"/>
        <v>0</v>
      </c>
      <c r="Q531" t="b">
        <f t="shared" si="79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72"/>
        <v>WESTERN_EUROPE_NO_REGION</v>
      </c>
      <c r="I532" t="b">
        <f t="shared" si="73"/>
        <v>0</v>
      </c>
      <c r="J532" t="b">
        <f t="shared" si="80"/>
        <v>0</v>
      </c>
      <c r="K532" t="b">
        <f t="shared" si="74"/>
        <v>0</v>
      </c>
      <c r="L532" t="b">
        <f t="shared" si="75"/>
        <v>0</v>
      </c>
      <c r="M532" t="b">
        <f t="shared" si="76"/>
        <v>1</v>
      </c>
      <c r="N532" t="b">
        <f t="shared" si="76"/>
        <v>0</v>
      </c>
      <c r="O532" t="b">
        <f t="shared" si="77"/>
        <v>0</v>
      </c>
      <c r="P532" t="b">
        <f t="shared" si="78"/>
        <v>0</v>
      </c>
      <c r="Q532" t="b">
        <f t="shared" si="79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72"/>
        <v>WESTERN_EUROPE_NO_REGION</v>
      </c>
      <c r="I533" t="b">
        <f t="shared" si="73"/>
        <v>0</v>
      </c>
      <c r="J533" t="b">
        <f t="shared" si="80"/>
        <v>0</v>
      </c>
      <c r="K533" t="b">
        <f t="shared" si="74"/>
        <v>0</v>
      </c>
      <c r="L533" t="b">
        <f t="shared" si="75"/>
        <v>0</v>
      </c>
      <c r="M533" t="b">
        <f t="shared" si="76"/>
        <v>1</v>
      </c>
      <c r="N533" t="b">
        <f t="shared" si="76"/>
        <v>0</v>
      </c>
      <c r="O533" t="b">
        <f t="shared" si="77"/>
        <v>0</v>
      </c>
      <c r="P533" t="b">
        <f t="shared" si="78"/>
        <v>0</v>
      </c>
      <c r="Q533" t="b">
        <f t="shared" si="79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72"/>
        <v>ALL_EUROPE_NO_REGION</v>
      </c>
      <c r="I534" t="b">
        <f t="shared" si="73"/>
        <v>0</v>
      </c>
      <c r="J534" t="b">
        <f t="shared" si="80"/>
        <v>0</v>
      </c>
      <c r="K534" t="b">
        <f t="shared" si="74"/>
        <v>1</v>
      </c>
      <c r="L534" t="b">
        <f t="shared" si="75"/>
        <v>1</v>
      </c>
      <c r="M534" t="b">
        <f t="shared" si="76"/>
        <v>1</v>
      </c>
      <c r="N534" t="b">
        <f t="shared" si="76"/>
        <v>1</v>
      </c>
      <c r="O534" t="b">
        <f t="shared" si="77"/>
        <v>0</v>
      </c>
      <c r="P534" t="b">
        <f t="shared" si="78"/>
        <v>0</v>
      </c>
      <c r="Q534" t="b">
        <f t="shared" si="79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72"/>
        <v>NORTH_AMERICA_NO_REGION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0</v>
      </c>
      <c r="N535" t="b">
        <f t="shared" si="76"/>
        <v>0</v>
      </c>
      <c r="O535" t="b">
        <f t="shared" si="77"/>
        <v>1</v>
      </c>
      <c r="P535" t="b">
        <f t="shared" si="78"/>
        <v>0</v>
      </c>
      <c r="Q535" t="b">
        <f t="shared" si="79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72"/>
        <v>WESTERN_EUROPE_NO_REGION</v>
      </c>
      <c r="I536" t="b">
        <f t="shared" si="73"/>
        <v>0</v>
      </c>
      <c r="J536" t="b">
        <f t="shared" si="80"/>
        <v>0</v>
      </c>
      <c r="K536" t="b">
        <f t="shared" si="74"/>
        <v>0</v>
      </c>
      <c r="L536" t="b">
        <f t="shared" si="75"/>
        <v>0</v>
      </c>
      <c r="M536" t="b">
        <f t="shared" si="76"/>
        <v>1</v>
      </c>
      <c r="N536" t="b">
        <f t="shared" si="76"/>
        <v>0</v>
      </c>
      <c r="O536" t="b">
        <f t="shared" si="77"/>
        <v>0</v>
      </c>
      <c r="P536" t="b">
        <f t="shared" si="78"/>
        <v>0</v>
      </c>
      <c r="Q536" t="b">
        <f t="shared" si="79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72"/>
        <v>EASTERN_EUROPE_NO_REGION</v>
      </c>
      <c r="I537" t="b">
        <f t="shared" si="73"/>
        <v>0</v>
      </c>
      <c r="J537" t="b">
        <f t="shared" si="80"/>
        <v>0</v>
      </c>
      <c r="K537" t="b">
        <f t="shared" si="74"/>
        <v>0</v>
      </c>
      <c r="L537" t="b">
        <f t="shared" si="75"/>
        <v>1</v>
      </c>
      <c r="M537" t="b">
        <f t="shared" si="76"/>
        <v>0</v>
      </c>
      <c r="N537" t="b">
        <f t="shared" si="76"/>
        <v>0</v>
      </c>
      <c r="O537" t="b">
        <f t="shared" si="77"/>
        <v>0</v>
      </c>
      <c r="P537" t="b">
        <f t="shared" si="78"/>
        <v>0</v>
      </c>
      <c r="Q537" t="b">
        <f t="shared" si="79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72"/>
        <v>NORTHERN_EUROPE_NO_REGION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0</v>
      </c>
      <c r="M538" t="b">
        <f t="shared" si="76"/>
        <v>0</v>
      </c>
      <c r="N538" t="b">
        <f t="shared" si="76"/>
        <v>1</v>
      </c>
      <c r="O538" t="b">
        <f t="shared" si="77"/>
        <v>0</v>
      </c>
      <c r="P538" t="b">
        <f t="shared" si="78"/>
        <v>0</v>
      </c>
      <c r="Q538" t="b">
        <f t="shared" si="79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72"/>
        <v>NORTHERN_EUROPE_NO_REGION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0</v>
      </c>
      <c r="M539" t="b">
        <f t="shared" si="76"/>
        <v>0</v>
      </c>
      <c r="N539" t="b">
        <f t="shared" si="76"/>
        <v>1</v>
      </c>
      <c r="O539" t="b">
        <f t="shared" si="77"/>
        <v>0</v>
      </c>
      <c r="P539" t="b">
        <f t="shared" si="78"/>
        <v>0</v>
      </c>
      <c r="Q539" t="b">
        <f t="shared" si="79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72"/>
        <v>EASTERN_EUROPE_NO_REGION</v>
      </c>
      <c r="I540" t="b">
        <f t="shared" si="73"/>
        <v>0</v>
      </c>
      <c r="J540" t="b">
        <f t="shared" si="80"/>
        <v>0</v>
      </c>
      <c r="K540" t="b">
        <f t="shared" si="74"/>
        <v>0</v>
      </c>
      <c r="L540" t="b">
        <f t="shared" si="75"/>
        <v>1</v>
      </c>
      <c r="M540" t="b">
        <f t="shared" si="76"/>
        <v>0</v>
      </c>
      <c r="N540" t="b">
        <f t="shared" si="76"/>
        <v>0</v>
      </c>
      <c r="O540" t="b">
        <f t="shared" si="77"/>
        <v>0</v>
      </c>
      <c r="P540" t="b">
        <f t="shared" si="78"/>
        <v>0</v>
      </c>
      <c r="Q540" t="b">
        <f t="shared" si="79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72"/>
        <v>ALL_EUROPE_NO_REGION</v>
      </c>
      <c r="I541" t="b">
        <f t="shared" si="73"/>
        <v>0</v>
      </c>
      <c r="J541" t="b">
        <f t="shared" si="80"/>
        <v>0</v>
      </c>
      <c r="K541" t="b">
        <f t="shared" si="74"/>
        <v>1</v>
      </c>
      <c r="L541" t="b">
        <f t="shared" si="75"/>
        <v>1</v>
      </c>
      <c r="M541" t="b">
        <f t="shared" si="76"/>
        <v>1</v>
      </c>
      <c r="N541" t="b">
        <f t="shared" si="76"/>
        <v>1</v>
      </c>
      <c r="O541" t="b">
        <f t="shared" si="77"/>
        <v>0</v>
      </c>
      <c r="P541" t="b">
        <f t="shared" si="78"/>
        <v>0</v>
      </c>
      <c r="Q541" t="b">
        <f t="shared" si="79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72"/>
        <v>ASIA_NO_REGION</v>
      </c>
      <c r="I542" t="b">
        <f t="shared" si="73"/>
        <v>0</v>
      </c>
      <c r="J542" t="b">
        <f t="shared" si="80"/>
        <v>1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6"/>
        <v>0</v>
      </c>
      <c r="O542" t="b">
        <f t="shared" si="77"/>
        <v>0</v>
      </c>
      <c r="P542" t="b">
        <f t="shared" si="78"/>
        <v>0</v>
      </c>
      <c r="Q542" t="b">
        <f t="shared" si="79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72"/>
        <v>ASIA_NO_REGION</v>
      </c>
      <c r="I543" t="b">
        <f t="shared" si="73"/>
        <v>0</v>
      </c>
      <c r="J543" t="b">
        <f t="shared" si="80"/>
        <v>1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6"/>
        <v>0</v>
      </c>
      <c r="O543" t="b">
        <f t="shared" si="77"/>
        <v>0</v>
      </c>
      <c r="P543" t="b">
        <f t="shared" si="78"/>
        <v>0</v>
      </c>
      <c r="Q543" t="b">
        <f t="shared" si="79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72"/>
        <v>ASIA_NO_REGION</v>
      </c>
      <c r="I544" t="b">
        <f t="shared" si="73"/>
        <v>0</v>
      </c>
      <c r="J544" t="b">
        <f t="shared" si="80"/>
        <v>1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6"/>
        <v>0</v>
      </c>
      <c r="O544" t="b">
        <f t="shared" si="77"/>
        <v>0</v>
      </c>
      <c r="P544" t="b">
        <f t="shared" si="78"/>
        <v>0</v>
      </c>
      <c r="Q544" t="b">
        <f t="shared" si="79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72"/>
        <v>WESTERN_EUROPE_NO_REGION</v>
      </c>
      <c r="I545" t="b">
        <f t="shared" si="73"/>
        <v>0</v>
      </c>
      <c r="J545" t="b">
        <f t="shared" si="80"/>
        <v>0</v>
      </c>
      <c r="K545" t="b">
        <f t="shared" si="74"/>
        <v>0</v>
      </c>
      <c r="L545" t="b">
        <f t="shared" si="75"/>
        <v>0</v>
      </c>
      <c r="M545" t="b">
        <f t="shared" si="76"/>
        <v>1</v>
      </c>
      <c r="N545" t="b">
        <f t="shared" si="76"/>
        <v>0</v>
      </c>
      <c r="O545" t="b">
        <f t="shared" si="77"/>
        <v>0</v>
      </c>
      <c r="P545" t="b">
        <f t="shared" si="78"/>
        <v>0</v>
      </c>
      <c r="Q545" t="b">
        <f t="shared" si="79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72"/>
        <v>SOUTHERN_EUROPE_NO_REGION</v>
      </c>
      <c r="I546" t="b">
        <f t="shared" si="73"/>
        <v>0</v>
      </c>
      <c r="J546" t="b">
        <f t="shared" si="80"/>
        <v>0</v>
      </c>
      <c r="K546" t="b">
        <f t="shared" si="74"/>
        <v>1</v>
      </c>
      <c r="L546" t="b">
        <f t="shared" si="75"/>
        <v>0</v>
      </c>
      <c r="M546" t="b">
        <f t="shared" si="76"/>
        <v>0</v>
      </c>
      <c r="N546" t="b">
        <f t="shared" si="76"/>
        <v>0</v>
      </c>
      <c r="O546" t="b">
        <f t="shared" si="77"/>
        <v>0</v>
      </c>
      <c r="P546" t="b">
        <f t="shared" si="78"/>
        <v>0</v>
      </c>
      <c r="Q546" t="b">
        <f t="shared" si="79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72"/>
        <v>EASTERN_EUROPE_WESTERN_EUROPE</v>
      </c>
      <c r="I547" t="b">
        <f t="shared" si="73"/>
        <v>0</v>
      </c>
      <c r="J547" t="b">
        <f t="shared" si="80"/>
        <v>0</v>
      </c>
      <c r="K547" t="b">
        <f t="shared" si="74"/>
        <v>0</v>
      </c>
      <c r="L547" t="b">
        <f t="shared" si="75"/>
        <v>1</v>
      </c>
      <c r="M547" t="b">
        <f t="shared" si="76"/>
        <v>1</v>
      </c>
      <c r="N547" t="b">
        <f t="shared" si="76"/>
        <v>0</v>
      </c>
      <c r="O547" t="b">
        <f t="shared" si="77"/>
        <v>0</v>
      </c>
      <c r="P547" t="b">
        <f t="shared" si="78"/>
        <v>0</v>
      </c>
      <c r="Q547" t="b">
        <f t="shared" si="79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72"/>
        <v>AFRICA_NO_REGION</v>
      </c>
      <c r="I548" t="b">
        <f t="shared" si="73"/>
        <v>1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6"/>
        <v>0</v>
      </c>
      <c r="O548" t="b">
        <f t="shared" si="77"/>
        <v>0</v>
      </c>
      <c r="P548" t="b">
        <f t="shared" si="78"/>
        <v>0</v>
      </c>
      <c r="Q548" t="b">
        <f t="shared" si="79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REGIONTYPE4</v>
      </c>
      <c r="G549" s="31" t="str">
        <f>_xlfn.XLOOKUP($A549,PROPERTIES[VEHIDCODE],PROPERTIES[REGION2])</f>
        <v>NO_REGION</v>
      </c>
      <c r="H549" s="31" t="str">
        <f t="shared" si="72"/>
        <v>REGIONTYPE4_NO_REGION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1</v>
      </c>
      <c r="M549" t="b">
        <f t="shared" si="76"/>
        <v>0</v>
      </c>
      <c r="N549" t="b">
        <f t="shared" si="76"/>
        <v>0</v>
      </c>
      <c r="O549" t="b">
        <f t="shared" si="77"/>
        <v>0</v>
      </c>
      <c r="P549" t="b">
        <f t="shared" si="78"/>
        <v>0</v>
      </c>
      <c r="Q549" t="b">
        <f t="shared" si="79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72"/>
        <v>ASIA_NO_REGION</v>
      </c>
      <c r="I550" t="b">
        <f t="shared" si="73"/>
        <v>0</v>
      </c>
      <c r="J550" t="b">
        <f t="shared" si="80"/>
        <v>1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6"/>
        <v>0</v>
      </c>
      <c r="O550" t="b">
        <f t="shared" si="77"/>
        <v>0</v>
      </c>
      <c r="P550" t="b">
        <f t="shared" si="78"/>
        <v>0</v>
      </c>
      <c r="Q550" t="b">
        <f t="shared" si="79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72"/>
        <v>NORTH_AMERICA_NO_REGION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0</v>
      </c>
      <c r="N551" t="b">
        <f t="shared" si="76"/>
        <v>0</v>
      </c>
      <c r="O551" t="b">
        <f t="shared" si="77"/>
        <v>1</v>
      </c>
      <c r="P551" t="b">
        <f t="shared" si="78"/>
        <v>0</v>
      </c>
      <c r="Q551" t="b">
        <f t="shared" si="79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72"/>
        <v>SOUTHERN_EUROPE_NO_REGION</v>
      </c>
      <c r="I552" t="b">
        <f t="shared" si="73"/>
        <v>0</v>
      </c>
      <c r="J552" t="b">
        <f t="shared" si="80"/>
        <v>0</v>
      </c>
      <c r="K552" t="b">
        <f t="shared" si="74"/>
        <v>1</v>
      </c>
      <c r="L552" t="b">
        <f t="shared" si="75"/>
        <v>0</v>
      </c>
      <c r="M552" t="b">
        <f t="shared" si="76"/>
        <v>0</v>
      </c>
      <c r="N552" t="b">
        <f t="shared" si="76"/>
        <v>0</v>
      </c>
      <c r="O552" t="b">
        <f t="shared" si="77"/>
        <v>0</v>
      </c>
      <c r="P552" t="b">
        <f t="shared" si="78"/>
        <v>0</v>
      </c>
      <c r="Q552" t="b">
        <f t="shared" si="79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72"/>
        <v>SOUTHERN_EUROPE_NO_REGION</v>
      </c>
      <c r="I553" t="b">
        <f t="shared" si="73"/>
        <v>0</v>
      </c>
      <c r="J553" t="b">
        <f t="shared" si="80"/>
        <v>0</v>
      </c>
      <c r="K553" t="b">
        <f t="shared" si="74"/>
        <v>1</v>
      </c>
      <c r="L553" t="b">
        <f t="shared" si="75"/>
        <v>0</v>
      </c>
      <c r="M553" t="b">
        <f t="shared" si="76"/>
        <v>0</v>
      </c>
      <c r="N553" t="b">
        <f t="shared" si="76"/>
        <v>0</v>
      </c>
      <c r="O553" t="b">
        <f t="shared" si="77"/>
        <v>0</v>
      </c>
      <c r="P553" t="b">
        <f t="shared" si="78"/>
        <v>0</v>
      </c>
      <c r="Q553" t="b">
        <f t="shared" si="79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72"/>
        <v>WESTERN_EUROPE_NO_REGION</v>
      </c>
      <c r="I554" t="b">
        <f t="shared" si="73"/>
        <v>0</v>
      </c>
      <c r="J554" t="b">
        <f t="shared" si="80"/>
        <v>0</v>
      </c>
      <c r="K554" t="b">
        <f t="shared" si="74"/>
        <v>0</v>
      </c>
      <c r="L554" t="b">
        <f t="shared" si="75"/>
        <v>0</v>
      </c>
      <c r="M554" t="b">
        <f t="shared" si="76"/>
        <v>1</v>
      </c>
      <c r="N554" t="b">
        <f t="shared" si="76"/>
        <v>0</v>
      </c>
      <c r="O554" t="b">
        <f t="shared" si="77"/>
        <v>0</v>
      </c>
      <c r="P554" t="b">
        <f t="shared" si="78"/>
        <v>0</v>
      </c>
      <c r="Q554" t="b">
        <f t="shared" si="79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72"/>
        <v>WESTERN_EUROPE_NO_REGION</v>
      </c>
      <c r="I555" t="b">
        <f t="shared" si="73"/>
        <v>0</v>
      </c>
      <c r="J555" t="b">
        <f t="shared" si="80"/>
        <v>0</v>
      </c>
      <c r="K555" t="b">
        <f t="shared" si="74"/>
        <v>0</v>
      </c>
      <c r="L555" t="b">
        <f t="shared" si="75"/>
        <v>0</v>
      </c>
      <c r="M555" t="b">
        <f t="shared" si="76"/>
        <v>1</v>
      </c>
      <c r="N555" t="b">
        <f t="shared" si="76"/>
        <v>0</v>
      </c>
      <c r="O555" t="b">
        <f t="shared" si="77"/>
        <v>0</v>
      </c>
      <c r="P555" t="b">
        <f t="shared" si="78"/>
        <v>0</v>
      </c>
      <c r="Q555" t="b">
        <f t="shared" si="79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72"/>
        <v>WESTERN_EUROPE_NO_REGION</v>
      </c>
      <c r="I556" t="b">
        <f t="shared" si="73"/>
        <v>0</v>
      </c>
      <c r="J556" t="b">
        <f t="shared" si="80"/>
        <v>0</v>
      </c>
      <c r="K556" t="b">
        <f t="shared" si="74"/>
        <v>0</v>
      </c>
      <c r="L556" t="b">
        <f t="shared" si="75"/>
        <v>0</v>
      </c>
      <c r="M556" t="b">
        <f t="shared" si="76"/>
        <v>1</v>
      </c>
      <c r="N556" t="b">
        <f t="shared" si="76"/>
        <v>0</v>
      </c>
      <c r="O556" t="b">
        <f t="shared" si="77"/>
        <v>0</v>
      </c>
      <c r="P556" t="b">
        <f t="shared" si="78"/>
        <v>0</v>
      </c>
      <c r="Q556" t="b">
        <f t="shared" si="79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72"/>
        <v>NORTH_AMERICA_NO_REGION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0</v>
      </c>
      <c r="N557" t="b">
        <f t="shared" si="76"/>
        <v>0</v>
      </c>
      <c r="O557" t="b">
        <f t="shared" si="77"/>
        <v>1</v>
      </c>
      <c r="P557" t="b">
        <f t="shared" si="78"/>
        <v>0</v>
      </c>
      <c r="Q557" t="b">
        <f t="shared" si="79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72"/>
        <v>WESTERN_EUROPE_NO_REGION</v>
      </c>
      <c r="I558" t="b">
        <f t="shared" si="73"/>
        <v>0</v>
      </c>
      <c r="J558" t="b">
        <f t="shared" si="80"/>
        <v>0</v>
      </c>
      <c r="K558" t="b">
        <f t="shared" si="74"/>
        <v>0</v>
      </c>
      <c r="L558" t="b">
        <f t="shared" si="75"/>
        <v>0</v>
      </c>
      <c r="M558" t="b">
        <f t="shared" si="76"/>
        <v>1</v>
      </c>
      <c r="N558" t="b">
        <f t="shared" si="76"/>
        <v>0</v>
      </c>
      <c r="O558" t="b">
        <f t="shared" si="77"/>
        <v>0</v>
      </c>
      <c r="P558" t="b">
        <f t="shared" si="78"/>
        <v>0</v>
      </c>
      <c r="Q558" t="b">
        <f t="shared" si="79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72"/>
        <v>WESTERN_EUROPE_NO_REGION</v>
      </c>
      <c r="I559" t="b">
        <f t="shared" si="73"/>
        <v>0</v>
      </c>
      <c r="J559" t="b">
        <f t="shared" si="80"/>
        <v>0</v>
      </c>
      <c r="K559" t="b">
        <f t="shared" si="74"/>
        <v>0</v>
      </c>
      <c r="L559" t="b">
        <f t="shared" si="75"/>
        <v>0</v>
      </c>
      <c r="M559" t="b">
        <f t="shared" si="76"/>
        <v>1</v>
      </c>
      <c r="N559" t="b">
        <f t="shared" si="76"/>
        <v>0</v>
      </c>
      <c r="O559" t="b">
        <f t="shared" si="77"/>
        <v>0</v>
      </c>
      <c r="P559" t="b">
        <f t="shared" si="78"/>
        <v>0</v>
      </c>
      <c r="Q559" t="b">
        <f t="shared" si="79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72"/>
        <v>WESTERN_EUROPE_NO_REGION</v>
      </c>
      <c r="I560" t="b">
        <f t="shared" si="73"/>
        <v>0</v>
      </c>
      <c r="J560" t="b">
        <f t="shared" si="80"/>
        <v>0</v>
      </c>
      <c r="K560" t="b">
        <f t="shared" si="74"/>
        <v>0</v>
      </c>
      <c r="L560" t="b">
        <f t="shared" si="75"/>
        <v>0</v>
      </c>
      <c r="M560" t="b">
        <f t="shared" si="76"/>
        <v>1</v>
      </c>
      <c r="N560" t="b">
        <f t="shared" si="76"/>
        <v>0</v>
      </c>
      <c r="O560" t="b">
        <f t="shared" si="77"/>
        <v>0</v>
      </c>
      <c r="P560" t="b">
        <f t="shared" si="78"/>
        <v>0</v>
      </c>
      <c r="Q560" t="b">
        <f t="shared" si="79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72"/>
        <v>ALL_EUROPE_NO_REGION</v>
      </c>
      <c r="I561" t="b">
        <f t="shared" si="73"/>
        <v>0</v>
      </c>
      <c r="J561" t="b">
        <f t="shared" si="80"/>
        <v>0</v>
      </c>
      <c r="K561" t="b">
        <f t="shared" si="74"/>
        <v>1</v>
      </c>
      <c r="L561" t="b">
        <f t="shared" si="75"/>
        <v>1</v>
      </c>
      <c r="M561" t="b">
        <f t="shared" si="76"/>
        <v>1</v>
      </c>
      <c r="N561" t="b">
        <f t="shared" si="76"/>
        <v>1</v>
      </c>
      <c r="O561" t="b">
        <f t="shared" si="77"/>
        <v>0</v>
      </c>
      <c r="P561" t="b">
        <f t="shared" si="78"/>
        <v>0</v>
      </c>
      <c r="Q561" t="b">
        <f t="shared" si="79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72"/>
        <v>SOUTHERN_EUROPE_NO_REGION</v>
      </c>
      <c r="I562" t="b">
        <f t="shared" si="73"/>
        <v>0</v>
      </c>
      <c r="J562" t="b">
        <f t="shared" si="80"/>
        <v>0</v>
      </c>
      <c r="K562" t="b">
        <f t="shared" si="74"/>
        <v>1</v>
      </c>
      <c r="L562" t="b">
        <f t="shared" si="75"/>
        <v>0</v>
      </c>
      <c r="M562" t="b">
        <f t="shared" si="76"/>
        <v>0</v>
      </c>
      <c r="N562" t="b">
        <f t="shared" si="76"/>
        <v>0</v>
      </c>
      <c r="O562" t="b">
        <f t="shared" si="77"/>
        <v>0</v>
      </c>
      <c r="P562" t="b">
        <f t="shared" si="78"/>
        <v>0</v>
      </c>
      <c r="Q562" t="b">
        <f t="shared" si="79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72"/>
        <v>NORTH_AMERICA_NO_REGION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0</v>
      </c>
      <c r="N563" t="b">
        <f t="shared" si="76"/>
        <v>0</v>
      </c>
      <c r="O563" t="b">
        <f t="shared" si="77"/>
        <v>1</v>
      </c>
      <c r="P563" t="b">
        <f t="shared" si="78"/>
        <v>0</v>
      </c>
      <c r="Q563" t="b">
        <f t="shared" si="79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72"/>
        <v>NORTH_AMERICA_NO_REGION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0</v>
      </c>
      <c r="N564" t="b">
        <f t="shared" si="76"/>
        <v>0</v>
      </c>
      <c r="O564" t="b">
        <f t="shared" si="77"/>
        <v>1</v>
      </c>
      <c r="P564" t="b">
        <f t="shared" si="78"/>
        <v>0</v>
      </c>
      <c r="Q564" t="b">
        <f t="shared" si="79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72"/>
        <v>EASTERN_EUROPE_NO_REGION</v>
      </c>
      <c r="I565" t="b">
        <f t="shared" si="73"/>
        <v>0</v>
      </c>
      <c r="J565" t="b">
        <f t="shared" si="80"/>
        <v>0</v>
      </c>
      <c r="K565" t="b">
        <f t="shared" si="74"/>
        <v>0</v>
      </c>
      <c r="L565" t="b">
        <f t="shared" si="75"/>
        <v>1</v>
      </c>
      <c r="M565" t="b">
        <f t="shared" si="76"/>
        <v>0</v>
      </c>
      <c r="N565" t="b">
        <f t="shared" si="76"/>
        <v>0</v>
      </c>
      <c r="O565" t="b">
        <f t="shared" si="77"/>
        <v>0</v>
      </c>
      <c r="P565" t="b">
        <f t="shared" si="78"/>
        <v>0</v>
      </c>
      <c r="Q565" t="b">
        <f t="shared" si="79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72"/>
        <v>NORTH_AMERICA_NO_REGION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0</v>
      </c>
      <c r="N566" t="b">
        <f t="shared" si="76"/>
        <v>0</v>
      </c>
      <c r="O566" t="b">
        <f t="shared" si="77"/>
        <v>1</v>
      </c>
      <c r="P566" t="b">
        <f t="shared" si="78"/>
        <v>0</v>
      </c>
      <c r="Q566" t="b">
        <f t="shared" si="79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72"/>
        <v>WESTERN_EUROPE_NO_REGION</v>
      </c>
      <c r="I567" t="b">
        <f t="shared" si="73"/>
        <v>0</v>
      </c>
      <c r="J567" t="b">
        <f t="shared" si="80"/>
        <v>0</v>
      </c>
      <c r="K567" t="b">
        <f t="shared" si="74"/>
        <v>0</v>
      </c>
      <c r="L567" t="b">
        <f t="shared" si="75"/>
        <v>0</v>
      </c>
      <c r="M567" t="b">
        <f t="shared" si="76"/>
        <v>1</v>
      </c>
      <c r="N567" t="b">
        <f t="shared" si="76"/>
        <v>0</v>
      </c>
      <c r="O567" t="b">
        <f t="shared" si="77"/>
        <v>0</v>
      </c>
      <c r="P567" t="b">
        <f t="shared" si="78"/>
        <v>0</v>
      </c>
      <c r="Q567" t="b">
        <f t="shared" si="79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72"/>
        <v>ALL_REGION_NO_REGION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6"/>
        <v>1</v>
      </c>
      <c r="O568" t="b">
        <f t="shared" si="77"/>
        <v>1</v>
      </c>
      <c r="P568" t="b">
        <f t="shared" si="78"/>
        <v>1</v>
      </c>
      <c r="Q568" t="b">
        <f t="shared" si="79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72"/>
        <v>WESTERN_EUROPE_NO_REGION</v>
      </c>
      <c r="I569" t="b">
        <f t="shared" si="73"/>
        <v>0</v>
      </c>
      <c r="J569" t="b">
        <f t="shared" si="80"/>
        <v>0</v>
      </c>
      <c r="K569" t="b">
        <f t="shared" si="74"/>
        <v>0</v>
      </c>
      <c r="L569" t="b">
        <f t="shared" si="75"/>
        <v>0</v>
      </c>
      <c r="M569" t="b">
        <f t="shared" si="76"/>
        <v>1</v>
      </c>
      <c r="N569" t="b">
        <f t="shared" si="76"/>
        <v>0</v>
      </c>
      <c r="O569" t="b">
        <f t="shared" si="77"/>
        <v>0</v>
      </c>
      <c r="P569" t="b">
        <f t="shared" si="78"/>
        <v>0</v>
      </c>
      <c r="Q569" t="b">
        <f t="shared" si="79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72"/>
        <v>ASIA_WESTERN_EUROPE</v>
      </c>
      <c r="I570" t="b">
        <f t="shared" si="73"/>
        <v>0</v>
      </c>
      <c r="J570" t="b">
        <f t="shared" si="80"/>
        <v>1</v>
      </c>
      <c r="K570" t="b">
        <f t="shared" si="74"/>
        <v>0</v>
      </c>
      <c r="L570" t="b">
        <f t="shared" si="75"/>
        <v>0</v>
      </c>
      <c r="M570" t="b">
        <f t="shared" si="76"/>
        <v>1</v>
      </c>
      <c r="N570" t="b">
        <f t="shared" si="76"/>
        <v>0</v>
      </c>
      <c r="O570" t="b">
        <f t="shared" si="77"/>
        <v>0</v>
      </c>
      <c r="P570" t="b">
        <f t="shared" si="78"/>
        <v>0</v>
      </c>
      <c r="Q570" t="b">
        <f t="shared" si="79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72"/>
        <v>ASIA_NO_REGION</v>
      </c>
      <c r="I571" t="b">
        <f t="shared" si="73"/>
        <v>0</v>
      </c>
      <c r="J571" t="b">
        <f t="shared" si="80"/>
        <v>1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6"/>
        <v>0</v>
      </c>
      <c r="O571" t="b">
        <f t="shared" si="77"/>
        <v>0</v>
      </c>
      <c r="P571" t="b">
        <f t="shared" si="78"/>
        <v>0</v>
      </c>
      <c r="Q571" t="b">
        <f t="shared" si="79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72"/>
        <v>ALL_REGION_NO_REGION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6"/>
        <v>1</v>
      </c>
      <c r="O572" t="b">
        <f t="shared" si="77"/>
        <v>1</v>
      </c>
      <c r="P572" t="b">
        <f t="shared" si="78"/>
        <v>1</v>
      </c>
      <c r="Q572" t="b">
        <f t="shared" si="79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72"/>
        <v>ALL_REGION_NO_REGION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6"/>
        <v>1</v>
      </c>
      <c r="O573" t="b">
        <f t="shared" si="77"/>
        <v>1</v>
      </c>
      <c r="P573" t="b">
        <f t="shared" si="78"/>
        <v>1</v>
      </c>
      <c r="Q573" t="b">
        <f t="shared" si="79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72"/>
        <v>ALL_REGION_NO_REGION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6"/>
        <v>1</v>
      </c>
      <c r="O574" t="b">
        <f t="shared" si="77"/>
        <v>1</v>
      </c>
      <c r="P574" t="b">
        <f t="shared" si="78"/>
        <v>1</v>
      </c>
      <c r="Q574" t="b">
        <f t="shared" si="79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72"/>
        <v>ALL_REGION_NO_REGION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6"/>
        <v>1</v>
      </c>
      <c r="O575" t="b">
        <f t="shared" si="77"/>
        <v>1</v>
      </c>
      <c r="P575" t="b">
        <f t="shared" si="78"/>
        <v>1</v>
      </c>
      <c r="Q575" t="b">
        <f t="shared" si="79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72"/>
        <v>ALL_REGION_NO_REGION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6"/>
        <v>1</v>
      </c>
      <c r="O576" t="b">
        <f t="shared" si="77"/>
        <v>1</v>
      </c>
      <c r="P576" t="b">
        <f t="shared" si="78"/>
        <v>1</v>
      </c>
      <c r="Q576" t="b">
        <f t="shared" si="79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72"/>
        <v>ALL_REGION_NO_REGION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6"/>
        <v>1</v>
      </c>
      <c r="O577" t="b">
        <f t="shared" si="77"/>
        <v>1</v>
      </c>
      <c r="P577" t="b">
        <f t="shared" si="78"/>
        <v>1</v>
      </c>
      <c r="Q577" t="b">
        <f t="shared" si="79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72"/>
        <v>ALL_REGION_NO_REGION</v>
      </c>
      <c r="I578" t="b">
        <f t="shared" si="73"/>
        <v>1</v>
      </c>
      <c r="J578" t="b">
        <f t="shared" si="80"/>
        <v>1</v>
      </c>
      <c r="K578" t="b">
        <f t="shared" si="74"/>
        <v>1</v>
      </c>
      <c r="L578" t="b">
        <f t="shared" si="75"/>
        <v>1</v>
      </c>
      <c r="M578" t="b">
        <f t="shared" si="76"/>
        <v>1</v>
      </c>
      <c r="N578" t="b">
        <f t="shared" si="76"/>
        <v>1</v>
      </c>
      <c r="O578" t="b">
        <f t="shared" si="77"/>
        <v>1</v>
      </c>
      <c r="P578" t="b">
        <f t="shared" si="78"/>
        <v>1</v>
      </c>
      <c r="Q578" t="b">
        <f t="shared" si="79"/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81">_xlfn.CONCAT($F579,"_",$G579)</f>
        <v>ALL_REGION_NO_REGION</v>
      </c>
      <c r="I579" t="b">
        <f t="shared" ref="I579:I642" si="82">OR(ISNUMBER(SEARCH("ALL_REGION",$H579)),
ISNUMBER(SEARCH("AFRICA",$H579)),
ISNUMBER(SEARCH("REGIONTYPE1",$H579)),
ISNUMBER(SEARCH("REGIONTYPE2",$H579)))</f>
        <v>1</v>
      </c>
      <c r="J579" t="b">
        <f t="shared" si="80"/>
        <v>1</v>
      </c>
      <c r="K579" t="b">
        <f t="shared" ref="K579:K642" si="83">OR(ISNUMBER(SEARCH("ALL_REGION",$H579)),
ISNUMBER(SEARCH("ALL_EUROPE",$H579)),
ISNUMBER(SEARCH(K$1,$H579)),
ISNUMBER(SEARCH("REGIONTYPE1",$H579)))</f>
        <v>1</v>
      </c>
      <c r="L579" t="b">
        <f t="shared" ref="L579:L642" si="84">OR(ISNUMBER(SEARCH("ALL_REGION",$H579)),
ISNUMBER(SEARCH("ALL_EUROPE",$H579)),
ISNUMBER(SEARCH(L$1,$H579)),
ISNUMBER(SEARCH("REGIONTYPE1",$H579)),
ISNUMBER(SEARCH("REGIONTYPE4",$H579)),
ISNUMBER(SEARCH("REGIONTYPE5",$H579)))</f>
        <v>1</v>
      </c>
      <c r="M579" t="b">
        <f t="shared" ref="M579:N642" si="85">OR(ISNUMBER(SEARCH("ALL_REGION",$H579)),
ISNUMBER(SEARCH("ALL_EUROPE",$H579)),
ISNUMBER(SEARCH(M$1,$H579)),
ISNUMBER(SEARCH("REGIONTYPE1",$H579)),
ISNUMBER(SEARCH("REGIONTYPE6",$H579)))</f>
        <v>1</v>
      </c>
      <c r="N579" t="b">
        <f t="shared" si="85"/>
        <v>1</v>
      </c>
      <c r="O579" t="b">
        <f t="shared" ref="O579:O642" si="86">OR(ISNUMBER(SEARCH("ALL_REGION",$H579)),
ISNUMBER(SEARCH("ALL_AMERICA",$H579)),
ISNUMBER(SEARCH(O$1,$H579)),
ISNUMBER(SEARCH("REGIONTYPE2",$H579)))</f>
        <v>1</v>
      </c>
      <c r="P579" t="b">
        <f t="shared" ref="P579:P642" si="87">OR(ISNUMBER(SEARCH("ALL_REGION",$H579)),
ISNUMBER(SEARCH("ALL_AMERICA",$H579)),
ISNUMBER(SEARCH(P$1,$H579)),
ISNUMBER(SEARCH("REGIONTYPE2",$H579)),
ISNUMBER(SEARCH("REGIONTYPE5",$H579)))</f>
        <v>1</v>
      </c>
      <c r="Q579" t="b">
        <f t="shared" ref="Q579:Q642" si="88">OR(ISNUMBER(SEARCH("ALL_REGION",$H579)),
ISNUMBER(SEARCH(Q$1,$H579)),
ISNUMBER(SEARCH("REGIONTYPE3",$H579)))</f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81"/>
        <v>ALL_REGION_NO_REGION</v>
      </c>
      <c r="I580" t="b">
        <f t="shared" si="82"/>
        <v>1</v>
      </c>
      <c r="J580" t="b">
        <f t="shared" ref="J580:J643" si="89">OR(ISNUMBER(SEARCH("ALL_REGION",$H580)),
ISNUMBER(SEARCH("ASIA",$H580)),
ISNUMBER(SEARCH("REGIONTYPE1",$H580)),
ISNUMBER(SEARCH("REGIONTYPE2",$H580)),
ISNUMBER(SEARCH("REGIONTYPE3",$H580)),
ISNUMBER(SEARCH("REGIONTYPE4",$H580)))</f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5"/>
        <v>1</v>
      </c>
      <c r="O580" t="b">
        <f t="shared" si="86"/>
        <v>1</v>
      </c>
      <c r="P580" t="b">
        <f t="shared" si="87"/>
        <v>1</v>
      </c>
      <c r="Q580" t="b">
        <f t="shared" si="88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81"/>
        <v>ALL_REGION_NO_REGION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5"/>
        <v>1</v>
      </c>
      <c r="O581" t="b">
        <f t="shared" si="86"/>
        <v>1</v>
      </c>
      <c r="P581" t="b">
        <f t="shared" si="87"/>
        <v>1</v>
      </c>
      <c r="Q581" t="b">
        <f t="shared" si="88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81"/>
        <v>ALL_REGION_NO_REGION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5"/>
        <v>1</v>
      </c>
      <c r="O582" t="b">
        <f t="shared" si="86"/>
        <v>1</v>
      </c>
      <c r="P582" t="b">
        <f t="shared" si="87"/>
        <v>1</v>
      </c>
      <c r="Q582" t="b">
        <f t="shared" si="88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81"/>
        <v>ALL_REGION_NO_REGION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5"/>
        <v>1</v>
      </c>
      <c r="O583" t="b">
        <f t="shared" si="86"/>
        <v>1</v>
      </c>
      <c r="P583" t="b">
        <f t="shared" si="87"/>
        <v>1</v>
      </c>
      <c r="Q583" t="b">
        <f t="shared" si="88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81"/>
        <v>ALL_REGION_NO_REGION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5"/>
        <v>1</v>
      </c>
      <c r="O584" t="b">
        <f t="shared" si="86"/>
        <v>1</v>
      </c>
      <c r="P584" t="b">
        <f t="shared" si="87"/>
        <v>1</v>
      </c>
      <c r="Q584" t="b">
        <f t="shared" si="88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81"/>
        <v>ALL_REGION_NO_REGION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5"/>
        <v>1</v>
      </c>
      <c r="O585" t="b">
        <f t="shared" si="86"/>
        <v>1</v>
      </c>
      <c r="P585" t="b">
        <f t="shared" si="87"/>
        <v>1</v>
      </c>
      <c r="Q585" t="b">
        <f t="shared" si="88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81"/>
        <v>ALL_REGION_NO_REGION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5"/>
        <v>1</v>
      </c>
      <c r="O586" t="b">
        <f t="shared" si="86"/>
        <v>1</v>
      </c>
      <c r="P586" t="b">
        <f t="shared" si="87"/>
        <v>1</v>
      </c>
      <c r="Q586" t="b">
        <f t="shared" si="88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81"/>
        <v>ASIA_NO_REGION</v>
      </c>
      <c r="I587" t="b">
        <f t="shared" si="82"/>
        <v>0</v>
      </c>
      <c r="J587" t="b">
        <f t="shared" si="89"/>
        <v>1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5"/>
        <v>0</v>
      </c>
      <c r="O587" t="b">
        <f t="shared" si="86"/>
        <v>0</v>
      </c>
      <c r="P587" t="b">
        <f t="shared" si="87"/>
        <v>0</v>
      </c>
      <c r="Q587" t="b">
        <f t="shared" si="88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81"/>
        <v>ASIA_NO_REGION</v>
      </c>
      <c r="I588" t="b">
        <f t="shared" si="82"/>
        <v>0</v>
      </c>
      <c r="J588" t="b">
        <f t="shared" si="89"/>
        <v>1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5"/>
        <v>0</v>
      </c>
      <c r="O588" t="b">
        <f t="shared" si="86"/>
        <v>0</v>
      </c>
      <c r="P588" t="b">
        <f t="shared" si="87"/>
        <v>0</v>
      </c>
      <c r="Q588" t="b">
        <f t="shared" si="88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81"/>
        <v>SOUTH_AMERICA_NO_REGION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5"/>
        <v>0</v>
      </c>
      <c r="O589" t="b">
        <f t="shared" si="86"/>
        <v>0</v>
      </c>
      <c r="P589" t="b">
        <f t="shared" si="87"/>
        <v>1</v>
      </c>
      <c r="Q589" t="b">
        <f t="shared" si="88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81"/>
        <v>SOUTH_AMERICA_NO_REGION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5"/>
        <v>0</v>
      </c>
      <c r="O590" t="b">
        <f t="shared" si="86"/>
        <v>0</v>
      </c>
      <c r="P590" t="b">
        <f t="shared" si="87"/>
        <v>1</v>
      </c>
      <c r="Q590" t="b">
        <f t="shared" si="88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81"/>
        <v>AFRICA_NO_REGION</v>
      </c>
      <c r="I591" t="b">
        <f t="shared" si="82"/>
        <v>1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5"/>
        <v>0</v>
      </c>
      <c r="O591" t="b">
        <f t="shared" si="86"/>
        <v>0</v>
      </c>
      <c r="P591" t="b">
        <f t="shared" si="87"/>
        <v>0</v>
      </c>
      <c r="Q591" t="b">
        <f t="shared" si="88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81"/>
        <v>WESTERN_EUROPE_NO_REGION</v>
      </c>
      <c r="I592" t="b">
        <f t="shared" si="82"/>
        <v>0</v>
      </c>
      <c r="J592" t="b">
        <f t="shared" si="89"/>
        <v>0</v>
      </c>
      <c r="K592" t="b">
        <f t="shared" si="83"/>
        <v>0</v>
      </c>
      <c r="L592" t="b">
        <f t="shared" si="84"/>
        <v>0</v>
      </c>
      <c r="M592" t="b">
        <f t="shared" si="85"/>
        <v>1</v>
      </c>
      <c r="N592" t="b">
        <f t="shared" si="85"/>
        <v>0</v>
      </c>
      <c r="O592" t="b">
        <f t="shared" si="86"/>
        <v>0</v>
      </c>
      <c r="P592" t="b">
        <f t="shared" si="87"/>
        <v>0</v>
      </c>
      <c r="Q592" t="b">
        <f t="shared" si="88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81"/>
        <v>WESTERN_EUROPE_NO_REGION</v>
      </c>
      <c r="I593" t="b">
        <f t="shared" si="82"/>
        <v>0</v>
      </c>
      <c r="J593" t="b">
        <f t="shared" si="89"/>
        <v>0</v>
      </c>
      <c r="K593" t="b">
        <f t="shared" si="83"/>
        <v>0</v>
      </c>
      <c r="L593" t="b">
        <f t="shared" si="84"/>
        <v>0</v>
      </c>
      <c r="M593" t="b">
        <f t="shared" si="85"/>
        <v>1</v>
      </c>
      <c r="N593" t="b">
        <f t="shared" si="85"/>
        <v>0</v>
      </c>
      <c r="O593" t="b">
        <f t="shared" si="86"/>
        <v>0</v>
      </c>
      <c r="P593" t="b">
        <f t="shared" si="87"/>
        <v>0</v>
      </c>
      <c r="Q593" t="b">
        <f t="shared" si="88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81"/>
        <v>WESTERN_EUROPE_NO_REGION</v>
      </c>
      <c r="I594" t="b">
        <f t="shared" si="82"/>
        <v>0</v>
      </c>
      <c r="J594" t="b">
        <f t="shared" si="89"/>
        <v>0</v>
      </c>
      <c r="K594" t="b">
        <f t="shared" si="83"/>
        <v>0</v>
      </c>
      <c r="L594" t="b">
        <f t="shared" si="84"/>
        <v>0</v>
      </c>
      <c r="M594" t="b">
        <f t="shared" si="85"/>
        <v>1</v>
      </c>
      <c r="N594" t="b">
        <f t="shared" si="85"/>
        <v>0</v>
      </c>
      <c r="O594" t="b">
        <f t="shared" si="86"/>
        <v>0</v>
      </c>
      <c r="P594" t="b">
        <f t="shared" si="87"/>
        <v>0</v>
      </c>
      <c r="Q594" t="b">
        <f t="shared" si="88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81"/>
        <v>SOUTHERN_EUROPE_NO_REGION</v>
      </c>
      <c r="I595" t="b">
        <f t="shared" si="82"/>
        <v>0</v>
      </c>
      <c r="J595" t="b">
        <f t="shared" si="89"/>
        <v>0</v>
      </c>
      <c r="K595" t="b">
        <f t="shared" si="83"/>
        <v>1</v>
      </c>
      <c r="L595" t="b">
        <f t="shared" si="84"/>
        <v>0</v>
      </c>
      <c r="M595" t="b">
        <f t="shared" si="85"/>
        <v>0</v>
      </c>
      <c r="N595" t="b">
        <f t="shared" si="85"/>
        <v>0</v>
      </c>
      <c r="O595" t="b">
        <f t="shared" si="86"/>
        <v>0</v>
      </c>
      <c r="P595" t="b">
        <f t="shared" si="87"/>
        <v>0</v>
      </c>
      <c r="Q595" t="b">
        <f t="shared" si="88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81"/>
        <v>ASIA_NO_REGION</v>
      </c>
      <c r="I596" t="b">
        <f t="shared" si="82"/>
        <v>0</v>
      </c>
      <c r="J596" t="b">
        <f t="shared" si="89"/>
        <v>1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5"/>
        <v>0</v>
      </c>
      <c r="O596" t="b">
        <f t="shared" si="86"/>
        <v>0</v>
      </c>
      <c r="P596" t="b">
        <f t="shared" si="87"/>
        <v>0</v>
      </c>
      <c r="Q596" t="b">
        <f t="shared" si="88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81"/>
        <v>WESTERN_EUROPE_NO_REGION</v>
      </c>
      <c r="I597" t="b">
        <f t="shared" si="82"/>
        <v>0</v>
      </c>
      <c r="J597" t="b">
        <f t="shared" si="89"/>
        <v>0</v>
      </c>
      <c r="K597" t="b">
        <f t="shared" si="83"/>
        <v>0</v>
      </c>
      <c r="L597" t="b">
        <f t="shared" si="84"/>
        <v>0</v>
      </c>
      <c r="M597" t="b">
        <f t="shared" si="85"/>
        <v>1</v>
      </c>
      <c r="N597" t="b">
        <f t="shared" si="85"/>
        <v>0</v>
      </c>
      <c r="O597" t="b">
        <f t="shared" si="86"/>
        <v>0</v>
      </c>
      <c r="P597" t="b">
        <f t="shared" si="87"/>
        <v>0</v>
      </c>
      <c r="Q597" t="b">
        <f t="shared" si="88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81"/>
        <v>ASIA_NO_REGION</v>
      </c>
      <c r="I598" t="b">
        <f t="shared" si="82"/>
        <v>0</v>
      </c>
      <c r="J598" t="b">
        <f t="shared" si="89"/>
        <v>1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5"/>
        <v>0</v>
      </c>
      <c r="O598" t="b">
        <f t="shared" si="86"/>
        <v>0</v>
      </c>
      <c r="P598" t="b">
        <f t="shared" si="87"/>
        <v>0</v>
      </c>
      <c r="Q598" t="b">
        <f t="shared" si="88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81"/>
        <v>ASIA_NO_REGION</v>
      </c>
      <c r="I599" t="b">
        <f t="shared" si="82"/>
        <v>0</v>
      </c>
      <c r="J599" t="b">
        <f t="shared" si="89"/>
        <v>1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5"/>
        <v>0</v>
      </c>
      <c r="O599" t="b">
        <f t="shared" si="86"/>
        <v>0</v>
      </c>
      <c r="P599" t="b">
        <f t="shared" si="87"/>
        <v>0</v>
      </c>
      <c r="Q599" t="b">
        <f t="shared" si="88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81"/>
        <v>ASIA_NO_REGION</v>
      </c>
      <c r="I600" t="b">
        <f t="shared" si="82"/>
        <v>0</v>
      </c>
      <c r="J600" t="b">
        <f t="shared" si="89"/>
        <v>1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5"/>
        <v>0</v>
      </c>
      <c r="O600" t="b">
        <f t="shared" si="86"/>
        <v>0</v>
      </c>
      <c r="P600" t="b">
        <f t="shared" si="87"/>
        <v>0</v>
      </c>
      <c r="Q600" t="b">
        <f t="shared" si="88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81"/>
        <v>ASIA_NO_REGION</v>
      </c>
      <c r="I601" t="b">
        <f t="shared" si="82"/>
        <v>0</v>
      </c>
      <c r="J601" t="b">
        <f t="shared" si="89"/>
        <v>1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5"/>
        <v>0</v>
      </c>
      <c r="O601" t="b">
        <f t="shared" si="86"/>
        <v>0</v>
      </c>
      <c r="P601" t="b">
        <f t="shared" si="87"/>
        <v>0</v>
      </c>
      <c r="Q601" t="b">
        <f t="shared" si="88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81"/>
        <v>ASIA_NO_REGION</v>
      </c>
      <c r="I602" t="b">
        <f t="shared" si="82"/>
        <v>0</v>
      </c>
      <c r="J602" t="b">
        <f t="shared" si="89"/>
        <v>1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5"/>
        <v>0</v>
      </c>
      <c r="O602" t="b">
        <f t="shared" si="86"/>
        <v>0</v>
      </c>
      <c r="P602" t="b">
        <f t="shared" si="87"/>
        <v>0</v>
      </c>
      <c r="Q602" t="b">
        <f t="shared" si="88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81"/>
        <v>ASIA_NO_REGION</v>
      </c>
      <c r="I603" t="b">
        <f t="shared" si="82"/>
        <v>0</v>
      </c>
      <c r="J603" t="b">
        <f t="shared" si="89"/>
        <v>1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5"/>
        <v>0</v>
      </c>
      <c r="O603" t="b">
        <f t="shared" si="86"/>
        <v>0</v>
      </c>
      <c r="P603" t="b">
        <f t="shared" si="87"/>
        <v>0</v>
      </c>
      <c r="Q603" t="b">
        <f t="shared" si="88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81"/>
        <v>WESTERN_EUROPE_NO_REGION</v>
      </c>
      <c r="I604" t="b">
        <f t="shared" si="82"/>
        <v>0</v>
      </c>
      <c r="J604" t="b">
        <f t="shared" si="89"/>
        <v>0</v>
      </c>
      <c r="K604" t="b">
        <f t="shared" si="83"/>
        <v>0</v>
      </c>
      <c r="L604" t="b">
        <f t="shared" si="84"/>
        <v>0</v>
      </c>
      <c r="M604" t="b">
        <f t="shared" si="85"/>
        <v>1</v>
      </c>
      <c r="N604" t="b">
        <f t="shared" si="85"/>
        <v>0</v>
      </c>
      <c r="O604" t="b">
        <f t="shared" si="86"/>
        <v>0</v>
      </c>
      <c r="P604" t="b">
        <f t="shared" si="87"/>
        <v>0</v>
      </c>
      <c r="Q604" t="b">
        <f t="shared" si="88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81"/>
        <v>ASIA_NO_REGION</v>
      </c>
      <c r="I605" t="b">
        <f t="shared" si="82"/>
        <v>0</v>
      </c>
      <c r="J605" t="b">
        <f t="shared" si="89"/>
        <v>1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5"/>
        <v>0</v>
      </c>
      <c r="O605" t="b">
        <f t="shared" si="86"/>
        <v>0</v>
      </c>
      <c r="P605" t="b">
        <f t="shared" si="87"/>
        <v>0</v>
      </c>
      <c r="Q605" t="b">
        <f t="shared" si="88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81"/>
        <v>ASIA_NO_REGION</v>
      </c>
      <c r="I606" t="b">
        <f t="shared" si="82"/>
        <v>0</v>
      </c>
      <c r="J606" t="b">
        <f t="shared" si="89"/>
        <v>1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5"/>
        <v>0</v>
      </c>
      <c r="O606" t="b">
        <f t="shared" si="86"/>
        <v>0</v>
      </c>
      <c r="P606" t="b">
        <f t="shared" si="87"/>
        <v>0</v>
      </c>
      <c r="Q606" t="b">
        <f t="shared" si="88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81"/>
        <v>OCEANIA_NO_REGION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5"/>
        <v>0</v>
      </c>
      <c r="O607" t="b">
        <f t="shared" si="86"/>
        <v>0</v>
      </c>
      <c r="P607" t="b">
        <f t="shared" si="87"/>
        <v>0</v>
      </c>
      <c r="Q607" t="b">
        <f t="shared" si="88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81"/>
        <v>OCEANIA_NO_REGION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5"/>
        <v>0</v>
      </c>
      <c r="O608" t="b">
        <f t="shared" si="86"/>
        <v>0</v>
      </c>
      <c r="P608" t="b">
        <f t="shared" si="87"/>
        <v>0</v>
      </c>
      <c r="Q608" t="b">
        <f t="shared" si="88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81"/>
        <v>AFRICA_NO_REGION</v>
      </c>
      <c r="I609" t="b">
        <f t="shared" si="82"/>
        <v>1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5"/>
        <v>0</v>
      </c>
      <c r="O609" t="b">
        <f t="shared" si="86"/>
        <v>0</v>
      </c>
      <c r="P609" t="b">
        <f t="shared" si="87"/>
        <v>0</v>
      </c>
      <c r="Q609" t="b">
        <f t="shared" si="88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81"/>
        <v>AFRICA_NO_REGION</v>
      </c>
      <c r="I610" t="b">
        <f t="shared" si="82"/>
        <v>1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5"/>
        <v>0</v>
      </c>
      <c r="O610" t="b">
        <f t="shared" si="86"/>
        <v>0</v>
      </c>
      <c r="P610" t="b">
        <f t="shared" si="87"/>
        <v>0</v>
      </c>
      <c r="Q610" t="b">
        <f t="shared" si="88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81"/>
        <v>AFRICA_NO_REGION</v>
      </c>
      <c r="I611" t="b">
        <f t="shared" si="82"/>
        <v>1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5"/>
        <v>0</v>
      </c>
      <c r="O611" t="b">
        <f t="shared" si="86"/>
        <v>0</v>
      </c>
      <c r="P611" t="b">
        <f t="shared" si="87"/>
        <v>0</v>
      </c>
      <c r="Q611" t="b">
        <f t="shared" si="88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81"/>
        <v>WESTERN_EUROPE_NO_REGION</v>
      </c>
      <c r="I612" t="b">
        <f t="shared" si="82"/>
        <v>0</v>
      </c>
      <c r="J612" t="b">
        <f t="shared" si="89"/>
        <v>0</v>
      </c>
      <c r="K612" t="b">
        <f t="shared" si="83"/>
        <v>0</v>
      </c>
      <c r="L612" t="b">
        <f t="shared" si="84"/>
        <v>0</v>
      </c>
      <c r="M612" t="b">
        <f t="shared" si="85"/>
        <v>1</v>
      </c>
      <c r="N612" t="b">
        <f t="shared" si="85"/>
        <v>0</v>
      </c>
      <c r="O612" t="b">
        <f t="shared" si="86"/>
        <v>0</v>
      </c>
      <c r="P612" t="b">
        <f t="shared" si="87"/>
        <v>0</v>
      </c>
      <c r="Q612" t="b">
        <f t="shared" si="88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81"/>
        <v>WESTERN_EUROPE_NO_REGION</v>
      </c>
      <c r="I613" t="b">
        <f t="shared" si="82"/>
        <v>0</v>
      </c>
      <c r="J613" t="b">
        <f t="shared" si="89"/>
        <v>0</v>
      </c>
      <c r="K613" t="b">
        <f t="shared" si="83"/>
        <v>0</v>
      </c>
      <c r="L613" t="b">
        <f t="shared" si="84"/>
        <v>0</v>
      </c>
      <c r="M613" t="b">
        <f t="shared" si="85"/>
        <v>1</v>
      </c>
      <c r="N613" t="b">
        <f t="shared" si="85"/>
        <v>0</v>
      </c>
      <c r="O613" t="b">
        <f t="shared" si="86"/>
        <v>0</v>
      </c>
      <c r="P613" t="b">
        <f t="shared" si="87"/>
        <v>0</v>
      </c>
      <c r="Q613" t="b">
        <f t="shared" si="88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81"/>
        <v>SOUTH_AMERICA_NO_REGION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5"/>
        <v>0</v>
      </c>
      <c r="O614" t="b">
        <f t="shared" si="86"/>
        <v>0</v>
      </c>
      <c r="P614" t="b">
        <f t="shared" si="87"/>
        <v>1</v>
      </c>
      <c r="Q614" t="b">
        <f t="shared" si="88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81"/>
        <v>AFRICA_NO_REGION</v>
      </c>
      <c r="I615" t="b">
        <f t="shared" si="82"/>
        <v>1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5"/>
        <v>0</v>
      </c>
      <c r="O615" t="b">
        <f t="shared" si="86"/>
        <v>0</v>
      </c>
      <c r="P615" t="b">
        <f t="shared" si="87"/>
        <v>0</v>
      </c>
      <c r="Q615" t="b">
        <f t="shared" si="88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81"/>
        <v>AFRICA_NO_REGION</v>
      </c>
      <c r="I616" t="b">
        <f t="shared" si="82"/>
        <v>1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5"/>
        <v>0</v>
      </c>
      <c r="O616" t="b">
        <f t="shared" si="86"/>
        <v>0</v>
      </c>
      <c r="P616" t="b">
        <f t="shared" si="87"/>
        <v>0</v>
      </c>
      <c r="Q616" t="b">
        <f t="shared" si="88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81"/>
        <v>OCEANIA_NO_REGION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5"/>
        <v>0</v>
      </c>
      <c r="O617" t="b">
        <f t="shared" si="86"/>
        <v>0</v>
      </c>
      <c r="P617" t="b">
        <f t="shared" si="87"/>
        <v>0</v>
      </c>
      <c r="Q617" t="b">
        <f t="shared" si="88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81"/>
        <v>ASIA_NO_REGION</v>
      </c>
      <c r="I618" t="b">
        <f t="shared" si="82"/>
        <v>0</v>
      </c>
      <c r="J618" t="b">
        <f t="shared" si="89"/>
        <v>1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5"/>
        <v>0</v>
      </c>
      <c r="O618" t="b">
        <f t="shared" si="86"/>
        <v>0</v>
      </c>
      <c r="P618" t="b">
        <f t="shared" si="87"/>
        <v>0</v>
      </c>
      <c r="Q618" t="b">
        <f t="shared" si="88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81"/>
        <v>ASIA_NO_REGION</v>
      </c>
      <c r="I619" t="b">
        <f t="shared" si="82"/>
        <v>0</v>
      </c>
      <c r="J619" t="b">
        <f t="shared" si="89"/>
        <v>1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5"/>
        <v>0</v>
      </c>
      <c r="O619" t="b">
        <f t="shared" si="86"/>
        <v>0</v>
      </c>
      <c r="P619" t="b">
        <f t="shared" si="87"/>
        <v>0</v>
      </c>
      <c r="Q619" t="b">
        <f t="shared" si="88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81"/>
        <v>OCEANIA_NO_REGION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5"/>
        <v>0</v>
      </c>
      <c r="O620" t="b">
        <f t="shared" si="86"/>
        <v>0</v>
      </c>
      <c r="P620" t="b">
        <f t="shared" si="87"/>
        <v>0</v>
      </c>
      <c r="Q620" t="b">
        <f t="shared" si="88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81"/>
        <v>OCEANIA_NO_REGION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5"/>
        <v>0</v>
      </c>
      <c r="O621" t="b">
        <f t="shared" si="86"/>
        <v>0</v>
      </c>
      <c r="P621" t="b">
        <f t="shared" si="87"/>
        <v>0</v>
      </c>
      <c r="Q621" t="b">
        <f t="shared" si="88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81"/>
        <v>OCEANIA_NO_REGION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5"/>
        <v>0</v>
      </c>
      <c r="O622" t="b">
        <f t="shared" si="86"/>
        <v>0</v>
      </c>
      <c r="P622" t="b">
        <f t="shared" si="87"/>
        <v>0</v>
      </c>
      <c r="Q622" t="b">
        <f t="shared" si="88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0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81"/>
        <v>OCEANIA_NO_REGION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5"/>
        <v>0</v>
      </c>
      <c r="O623" t="b">
        <f t="shared" si="86"/>
        <v>0</v>
      </c>
      <c r="P623" t="b">
        <f t="shared" si="87"/>
        <v>0</v>
      </c>
      <c r="Q623" t="b">
        <f t="shared" si="88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81"/>
        <v>AFRICA_NO_REGION</v>
      </c>
      <c r="I624" t="b">
        <f t="shared" si="82"/>
        <v>1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5"/>
        <v>0</v>
      </c>
      <c r="O624" t="b">
        <f t="shared" si="86"/>
        <v>0</v>
      </c>
      <c r="P624" t="b">
        <f t="shared" si="87"/>
        <v>0</v>
      </c>
      <c r="Q624" t="b">
        <f t="shared" si="88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81"/>
        <v>SOUTH_AMERICA_NO_REGION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5"/>
        <v>0</v>
      </c>
      <c r="O625" t="b">
        <f t="shared" si="86"/>
        <v>0</v>
      </c>
      <c r="P625" t="b">
        <f t="shared" si="87"/>
        <v>1</v>
      </c>
      <c r="Q625" t="b">
        <f t="shared" si="88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81"/>
        <v>SOUTH_AMERICA_NO_REGION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5"/>
        <v>0</v>
      </c>
      <c r="O626" t="b">
        <f t="shared" si="86"/>
        <v>0</v>
      </c>
      <c r="P626" t="b">
        <f t="shared" si="87"/>
        <v>1</v>
      </c>
      <c r="Q626" t="b">
        <f t="shared" si="88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81"/>
        <v>AFRICA_NO_REGION</v>
      </c>
      <c r="I627" t="b">
        <f t="shared" si="82"/>
        <v>1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5"/>
        <v>0</v>
      </c>
      <c r="O627" t="b">
        <f t="shared" si="86"/>
        <v>0</v>
      </c>
      <c r="P627" t="b">
        <f t="shared" si="87"/>
        <v>0</v>
      </c>
      <c r="Q627" t="b">
        <f t="shared" si="88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81"/>
        <v>OCEANIA_NO_REGION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5"/>
        <v>0</v>
      </c>
      <c r="O628" t="b">
        <f t="shared" si="86"/>
        <v>0</v>
      </c>
      <c r="P628" t="b">
        <f t="shared" si="87"/>
        <v>0</v>
      </c>
      <c r="Q628" t="b">
        <f t="shared" si="88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REGIONTYPE4</v>
      </c>
      <c r="G629" s="31" t="str">
        <f>_xlfn.XLOOKUP($A629,PROPERTIES[VEHIDCODE],PROPERTIES[REGION2])</f>
        <v>NO_REGION</v>
      </c>
      <c r="H629" s="31" t="str">
        <f t="shared" si="81"/>
        <v>REGIONTYPE4_NO_REGION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1</v>
      </c>
      <c r="M629" t="b">
        <f t="shared" si="85"/>
        <v>0</v>
      </c>
      <c r="N629" t="b">
        <f t="shared" si="85"/>
        <v>0</v>
      </c>
      <c r="O629" t="b">
        <f t="shared" si="86"/>
        <v>0</v>
      </c>
      <c r="P629" t="b">
        <f t="shared" si="87"/>
        <v>0</v>
      </c>
      <c r="Q629" t="b">
        <f t="shared" si="88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REGIONTYPE4</v>
      </c>
      <c r="G630" s="31" t="str">
        <f>_xlfn.XLOOKUP($A630,PROPERTIES[VEHIDCODE],PROPERTIES[REGION2])</f>
        <v>NO_REGION</v>
      </c>
      <c r="H630" s="31" t="str">
        <f t="shared" si="81"/>
        <v>REGIONTYPE4_NO_REGION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1</v>
      </c>
      <c r="M630" t="b">
        <f t="shared" si="85"/>
        <v>0</v>
      </c>
      <c r="N630" t="b">
        <f t="shared" si="85"/>
        <v>0</v>
      </c>
      <c r="O630" t="b">
        <f t="shared" si="86"/>
        <v>0</v>
      </c>
      <c r="P630" t="b">
        <f t="shared" si="87"/>
        <v>0</v>
      </c>
      <c r="Q630" t="b">
        <f t="shared" si="88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REGIONTYPE4</v>
      </c>
      <c r="G631" s="31" t="str">
        <f>_xlfn.XLOOKUP($A631,PROPERTIES[VEHIDCODE],PROPERTIES[REGION2])</f>
        <v>NO_REGION</v>
      </c>
      <c r="H631" s="31" t="str">
        <f t="shared" si="81"/>
        <v>REGIONTYPE4_NO_REGION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1</v>
      </c>
      <c r="M631" t="b">
        <f t="shared" si="85"/>
        <v>0</v>
      </c>
      <c r="N631" t="b">
        <f t="shared" si="85"/>
        <v>0</v>
      </c>
      <c r="O631" t="b">
        <f t="shared" si="86"/>
        <v>0</v>
      </c>
      <c r="P631" t="b">
        <f t="shared" si="87"/>
        <v>0</v>
      </c>
      <c r="Q631" t="b">
        <f t="shared" si="88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81"/>
        <v>EASTERN_EUROPE_NO_REGION</v>
      </c>
      <c r="I632" t="b">
        <f t="shared" si="82"/>
        <v>0</v>
      </c>
      <c r="J632" t="b">
        <f t="shared" si="89"/>
        <v>0</v>
      </c>
      <c r="K632" t="b">
        <f t="shared" si="83"/>
        <v>0</v>
      </c>
      <c r="L632" t="b">
        <f t="shared" si="84"/>
        <v>1</v>
      </c>
      <c r="M632" t="b">
        <f t="shared" si="85"/>
        <v>0</v>
      </c>
      <c r="N632" t="b">
        <f t="shared" si="85"/>
        <v>0</v>
      </c>
      <c r="O632" t="b">
        <f t="shared" si="86"/>
        <v>0</v>
      </c>
      <c r="P632" t="b">
        <f t="shared" si="87"/>
        <v>0</v>
      </c>
      <c r="Q632" t="b">
        <f t="shared" si="88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REGIONTYPE4</v>
      </c>
      <c r="G633" s="31" t="str">
        <f>_xlfn.XLOOKUP($A633,PROPERTIES[VEHIDCODE],PROPERTIES[REGION2])</f>
        <v>NO_REGION</v>
      </c>
      <c r="H633" s="31" t="str">
        <f t="shared" si="81"/>
        <v>REGIONTYPE4_NO_REGION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1</v>
      </c>
      <c r="M633" t="b">
        <f t="shared" si="85"/>
        <v>0</v>
      </c>
      <c r="N633" t="b">
        <f t="shared" si="85"/>
        <v>0</v>
      </c>
      <c r="O633" t="b">
        <f t="shared" si="86"/>
        <v>0</v>
      </c>
      <c r="P633" t="b">
        <f t="shared" si="87"/>
        <v>0</v>
      </c>
      <c r="Q633" t="b">
        <f t="shared" si="88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REGIONTYPE4</v>
      </c>
      <c r="G634" s="31" t="str">
        <f>_xlfn.XLOOKUP($A634,PROPERTIES[VEHIDCODE],PROPERTIES[REGION2])</f>
        <v>NO_REGION</v>
      </c>
      <c r="H634" s="31" t="str">
        <f t="shared" si="81"/>
        <v>REGIONTYPE4_NO_REGION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1</v>
      </c>
      <c r="M634" t="b">
        <f t="shared" si="85"/>
        <v>0</v>
      </c>
      <c r="N634" t="b">
        <f t="shared" si="85"/>
        <v>0</v>
      </c>
      <c r="O634" t="b">
        <f t="shared" si="86"/>
        <v>0</v>
      </c>
      <c r="P634" t="b">
        <f t="shared" si="87"/>
        <v>0</v>
      </c>
      <c r="Q634" t="b">
        <f t="shared" si="88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81"/>
        <v>SOUTH_AMERICA_NO_REGION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5"/>
        <v>0</v>
      </c>
      <c r="O635" t="b">
        <f t="shared" si="86"/>
        <v>0</v>
      </c>
      <c r="P635" t="b">
        <f t="shared" si="87"/>
        <v>1</v>
      </c>
      <c r="Q635" t="b">
        <f t="shared" si="88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REGIONTYPE4</v>
      </c>
      <c r="G636" s="31" t="str">
        <f>_xlfn.XLOOKUP($A636,PROPERTIES[VEHIDCODE],PROPERTIES[REGION2])</f>
        <v>NO_REGION</v>
      </c>
      <c r="H636" s="31" t="str">
        <f t="shared" si="81"/>
        <v>REGIONTYPE4_NO_REGION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1</v>
      </c>
      <c r="M636" t="b">
        <f t="shared" si="85"/>
        <v>0</v>
      </c>
      <c r="N636" t="b">
        <f t="shared" si="85"/>
        <v>0</v>
      </c>
      <c r="O636" t="b">
        <f t="shared" si="86"/>
        <v>0</v>
      </c>
      <c r="P636" t="b">
        <f t="shared" si="87"/>
        <v>0</v>
      </c>
      <c r="Q636" t="b">
        <f t="shared" si="88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REGIONTYPE4</v>
      </c>
      <c r="G637" s="31" t="str">
        <f>_xlfn.XLOOKUP($A637,PROPERTIES[VEHIDCODE],PROPERTIES[REGION2])</f>
        <v>NO_REGION</v>
      </c>
      <c r="H637" s="31" t="str">
        <f t="shared" si="81"/>
        <v>REGIONTYPE4_NO_REGION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1</v>
      </c>
      <c r="M637" t="b">
        <f t="shared" si="85"/>
        <v>0</v>
      </c>
      <c r="N637" t="b">
        <f t="shared" si="85"/>
        <v>0</v>
      </c>
      <c r="O637" t="b">
        <f t="shared" si="86"/>
        <v>0</v>
      </c>
      <c r="P637" t="b">
        <f t="shared" si="87"/>
        <v>0</v>
      </c>
      <c r="Q637" t="b">
        <f t="shared" si="88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81"/>
        <v>ASIA_NO_REGION</v>
      </c>
      <c r="I638" t="b">
        <f t="shared" si="82"/>
        <v>0</v>
      </c>
      <c r="J638" t="b">
        <f t="shared" si="89"/>
        <v>1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5"/>
        <v>0</v>
      </c>
      <c r="O638" t="b">
        <f t="shared" si="86"/>
        <v>0</v>
      </c>
      <c r="P638" t="b">
        <f t="shared" si="87"/>
        <v>0</v>
      </c>
      <c r="Q638" t="b">
        <f t="shared" si="88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81"/>
        <v>NORTHERN_EUROPE_NO_REGION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0</v>
      </c>
      <c r="M639" t="b">
        <f t="shared" si="85"/>
        <v>0</v>
      </c>
      <c r="N639" t="b">
        <f t="shared" si="85"/>
        <v>1</v>
      </c>
      <c r="O639" t="b">
        <f t="shared" si="86"/>
        <v>0</v>
      </c>
      <c r="P639" t="b">
        <f t="shared" si="87"/>
        <v>0</v>
      </c>
      <c r="Q639" t="b">
        <f t="shared" si="88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81"/>
        <v>ASIA_NO_REGION</v>
      </c>
      <c r="I640" t="b">
        <f t="shared" si="82"/>
        <v>0</v>
      </c>
      <c r="J640" t="b">
        <f t="shared" si="89"/>
        <v>1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5"/>
        <v>0</v>
      </c>
      <c r="O640" t="b">
        <f t="shared" si="86"/>
        <v>0</v>
      </c>
      <c r="P640" t="b">
        <f t="shared" si="87"/>
        <v>0</v>
      </c>
      <c r="Q640" t="b">
        <f t="shared" si="88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81"/>
        <v>ASIA_NO_REGION</v>
      </c>
      <c r="I641" t="b">
        <f t="shared" si="82"/>
        <v>0</v>
      </c>
      <c r="J641" t="b">
        <f t="shared" si="89"/>
        <v>1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5"/>
        <v>0</v>
      </c>
      <c r="O641" t="b">
        <f t="shared" si="86"/>
        <v>0</v>
      </c>
      <c r="P641" t="b">
        <f t="shared" si="87"/>
        <v>0</v>
      </c>
      <c r="Q641" t="b">
        <f t="shared" si="88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REGIONTYPE4</v>
      </c>
      <c r="G642" s="31" t="str">
        <f>_xlfn.XLOOKUP($A642,PROPERTIES[VEHIDCODE],PROPERTIES[REGION2])</f>
        <v>NO_REGION</v>
      </c>
      <c r="H642" s="31" t="str">
        <f t="shared" si="81"/>
        <v>REGIONTYPE4_NO_REGION</v>
      </c>
      <c r="I642" t="b">
        <f t="shared" si="82"/>
        <v>0</v>
      </c>
      <c r="J642" t="b">
        <f t="shared" si="89"/>
        <v>1</v>
      </c>
      <c r="K642" t="b">
        <f t="shared" si="83"/>
        <v>0</v>
      </c>
      <c r="L642" t="b">
        <f t="shared" si="84"/>
        <v>1</v>
      </c>
      <c r="M642" t="b">
        <f t="shared" si="85"/>
        <v>0</v>
      </c>
      <c r="N642" t="b">
        <f t="shared" si="85"/>
        <v>0</v>
      </c>
      <c r="O642" t="b">
        <f t="shared" si="86"/>
        <v>0</v>
      </c>
      <c r="P642" t="b">
        <f t="shared" si="87"/>
        <v>0</v>
      </c>
      <c r="Q642" t="b">
        <f t="shared" si="88"/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90">_xlfn.CONCAT($F643,"_",$G643)</f>
        <v>NORTHERN_EUROPE_NO_REGION</v>
      </c>
      <c r="I643" t="b">
        <f t="shared" ref="I643:I706" si="91">OR(ISNUMBER(SEARCH("ALL_REGION",$H643)),
ISNUMBER(SEARCH("AFRICA",$H643)),
ISNUMBER(SEARCH("REGIONTYPE1",$H643)),
ISNUMBER(SEARCH("REGIONTYPE2",$H643)))</f>
        <v>0</v>
      </c>
      <c r="J643" t="b">
        <f t="shared" si="89"/>
        <v>0</v>
      </c>
      <c r="K643" t="b">
        <f t="shared" ref="K643:K706" si="92">OR(ISNUMBER(SEARCH("ALL_REGION",$H643)),
ISNUMBER(SEARCH("ALL_EUROPE",$H643)),
ISNUMBER(SEARCH(K$1,$H643)),
ISNUMBER(SEARCH("REGIONTYPE1",$H643)))</f>
        <v>0</v>
      </c>
      <c r="L643" t="b">
        <f t="shared" ref="L643:L706" si="93">OR(ISNUMBER(SEARCH("ALL_REGION",$H643)),
ISNUMBER(SEARCH("ALL_EUROPE",$H643)),
ISNUMBER(SEARCH(L$1,$H643)),
ISNUMBER(SEARCH("REGIONTYPE1",$H643)),
ISNUMBER(SEARCH("REGIONTYPE4",$H643)),
ISNUMBER(SEARCH("REGIONTYPE5",$H643)))</f>
        <v>0</v>
      </c>
      <c r="M643" t="b">
        <f t="shared" ref="M643:N706" si="94">OR(ISNUMBER(SEARCH("ALL_REGION",$H643)),
ISNUMBER(SEARCH("ALL_EUROPE",$H643)),
ISNUMBER(SEARCH(M$1,$H643)),
ISNUMBER(SEARCH("REGIONTYPE1",$H643)),
ISNUMBER(SEARCH("REGIONTYPE6",$H643)))</f>
        <v>0</v>
      </c>
      <c r="N643" t="b">
        <f t="shared" si="94"/>
        <v>1</v>
      </c>
      <c r="O643" t="b">
        <f t="shared" ref="O643:O706" si="95">OR(ISNUMBER(SEARCH("ALL_REGION",$H643)),
ISNUMBER(SEARCH("ALL_AMERICA",$H643)),
ISNUMBER(SEARCH(O$1,$H643)),
ISNUMBER(SEARCH("REGIONTYPE2",$H643)))</f>
        <v>0</v>
      </c>
      <c r="P643" t="b">
        <f t="shared" ref="P643:P706" si="96">OR(ISNUMBER(SEARCH("ALL_REGION",$H643)),
ISNUMBER(SEARCH("ALL_AMERICA",$H643)),
ISNUMBER(SEARCH(P$1,$H643)),
ISNUMBER(SEARCH("REGIONTYPE2",$H643)),
ISNUMBER(SEARCH("REGIONTYPE5",$H643)))</f>
        <v>0</v>
      </c>
      <c r="Q643" t="b">
        <f t="shared" ref="Q643:Q706" si="97">OR(ISNUMBER(SEARCH("ALL_REGION",$H643)),
ISNUMBER(SEARCH(Q$1,$H643)),
ISNUMBER(SEARCH("REGIONTYPE3",$H643)))</f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REGIONTYPE4</v>
      </c>
      <c r="G644" s="31" t="str">
        <f>_xlfn.XLOOKUP($A644,PROPERTIES[VEHIDCODE],PROPERTIES[REGION2])</f>
        <v>NO_REGION</v>
      </c>
      <c r="H644" s="31" t="str">
        <f t="shared" si="90"/>
        <v>REGIONTYPE4_NO_REGION</v>
      </c>
      <c r="I644" t="b">
        <f t="shared" si="91"/>
        <v>0</v>
      </c>
      <c r="J644" t="b">
        <f t="shared" ref="J644:J707" si="98">OR(ISNUMBER(SEARCH("ALL_REGION",$H644)),
ISNUMBER(SEARCH("ASIA",$H644)),
ISNUMBER(SEARCH("REGIONTYPE1",$H644)),
ISNUMBER(SEARCH("REGIONTYPE2",$H644)),
ISNUMBER(SEARCH("REGIONTYPE3",$H644)),
ISNUMBER(SEARCH("REGIONTYPE4",$H644)))</f>
        <v>1</v>
      </c>
      <c r="K644" t="b">
        <f t="shared" si="92"/>
        <v>0</v>
      </c>
      <c r="L644" t="b">
        <f t="shared" si="93"/>
        <v>1</v>
      </c>
      <c r="M644" t="b">
        <f t="shared" si="94"/>
        <v>0</v>
      </c>
      <c r="N644" t="b">
        <f t="shared" si="94"/>
        <v>0</v>
      </c>
      <c r="O644" t="b">
        <f t="shared" si="95"/>
        <v>0</v>
      </c>
      <c r="P644" t="b">
        <f t="shared" si="96"/>
        <v>0</v>
      </c>
      <c r="Q644" t="b">
        <f t="shared" si="97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90"/>
        <v>EASTERN_EUROPE_NO_REGION</v>
      </c>
      <c r="I645" t="b">
        <f t="shared" si="91"/>
        <v>0</v>
      </c>
      <c r="J645" t="b">
        <f t="shared" si="98"/>
        <v>0</v>
      </c>
      <c r="K645" t="b">
        <f t="shared" si="92"/>
        <v>0</v>
      </c>
      <c r="L645" t="b">
        <f t="shared" si="93"/>
        <v>1</v>
      </c>
      <c r="M645" t="b">
        <f t="shared" si="94"/>
        <v>0</v>
      </c>
      <c r="N645" t="b">
        <f t="shared" si="94"/>
        <v>0</v>
      </c>
      <c r="O645" t="b">
        <f t="shared" si="95"/>
        <v>0</v>
      </c>
      <c r="P645" t="b">
        <f t="shared" si="96"/>
        <v>0</v>
      </c>
      <c r="Q645" t="b">
        <f t="shared" si="97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REGIONTYPE4</v>
      </c>
      <c r="G646" s="31" t="str">
        <f>_xlfn.XLOOKUP($A646,PROPERTIES[VEHIDCODE],PROPERTIES[REGION2])</f>
        <v>NO_REGION</v>
      </c>
      <c r="H646" s="31" t="str">
        <f t="shared" si="90"/>
        <v>REGIONTYPE4_NO_REGION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4"/>
        <v>0</v>
      </c>
      <c r="O646" t="b">
        <f t="shared" si="95"/>
        <v>0</v>
      </c>
      <c r="P646" t="b">
        <f t="shared" si="96"/>
        <v>0</v>
      </c>
      <c r="Q646" t="b">
        <f t="shared" si="97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90"/>
        <v>EASTERN_EUROPE_NO_REGION</v>
      </c>
      <c r="I647" t="b">
        <f t="shared" si="91"/>
        <v>0</v>
      </c>
      <c r="J647" t="b">
        <f t="shared" si="98"/>
        <v>0</v>
      </c>
      <c r="K647" t="b">
        <f t="shared" si="92"/>
        <v>0</v>
      </c>
      <c r="L647" t="b">
        <f t="shared" si="93"/>
        <v>1</v>
      </c>
      <c r="M647" t="b">
        <f t="shared" si="94"/>
        <v>0</v>
      </c>
      <c r="N647" t="b">
        <f t="shared" si="94"/>
        <v>0</v>
      </c>
      <c r="O647" t="b">
        <f t="shared" si="95"/>
        <v>0</v>
      </c>
      <c r="P647" t="b">
        <f t="shared" si="96"/>
        <v>0</v>
      </c>
      <c r="Q647" t="b">
        <f t="shared" si="97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90"/>
        <v>ASIA_NO_REGION</v>
      </c>
      <c r="I648" t="b">
        <f t="shared" si="91"/>
        <v>0</v>
      </c>
      <c r="J648" t="b">
        <f t="shared" si="98"/>
        <v>1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4"/>
        <v>0</v>
      </c>
      <c r="O648" t="b">
        <f t="shared" si="95"/>
        <v>0</v>
      </c>
      <c r="P648" t="b">
        <f t="shared" si="96"/>
        <v>0</v>
      </c>
      <c r="Q648" t="b">
        <f t="shared" si="97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90"/>
        <v>ALL_REGION_NO_REGION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4"/>
        <v>1</v>
      </c>
      <c r="O649" t="b">
        <f t="shared" si="95"/>
        <v>1</v>
      </c>
      <c r="P649" t="b">
        <f t="shared" si="96"/>
        <v>1</v>
      </c>
      <c r="Q649" t="b">
        <f t="shared" si="97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90"/>
        <v>ALL_REGION_NO_REGION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4"/>
        <v>1</v>
      </c>
      <c r="O650" t="b">
        <f t="shared" si="95"/>
        <v>1</v>
      </c>
      <c r="P650" t="b">
        <f t="shared" si="96"/>
        <v>1</v>
      </c>
      <c r="Q650" t="b">
        <f t="shared" si="97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90"/>
        <v>ALL_REGION_NO_REGION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4"/>
        <v>1</v>
      </c>
      <c r="O651" t="b">
        <f t="shared" si="95"/>
        <v>1</v>
      </c>
      <c r="P651" t="b">
        <f t="shared" si="96"/>
        <v>1</v>
      </c>
      <c r="Q651" t="b">
        <f t="shared" si="97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90"/>
        <v>ALL_REGION_NO_REGION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4"/>
        <v>1</v>
      </c>
      <c r="O652" t="b">
        <f t="shared" si="95"/>
        <v>1</v>
      </c>
      <c r="P652" t="b">
        <f t="shared" si="96"/>
        <v>1</v>
      </c>
      <c r="Q652" t="b">
        <f t="shared" si="97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90"/>
        <v>ALL_REGION_NO_REGION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4"/>
        <v>1</v>
      </c>
      <c r="O653" t="b">
        <f t="shared" si="95"/>
        <v>1</v>
      </c>
      <c r="P653" t="b">
        <f t="shared" si="96"/>
        <v>1</v>
      </c>
      <c r="Q653" t="b">
        <f t="shared" si="97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90"/>
        <v>ALL_REGION_NO_REGION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4"/>
        <v>1</v>
      </c>
      <c r="O654" t="b">
        <f t="shared" si="95"/>
        <v>1</v>
      </c>
      <c r="P654" t="b">
        <f t="shared" si="96"/>
        <v>1</v>
      </c>
      <c r="Q654" t="b">
        <f t="shared" si="97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90"/>
        <v>ALL_REGION_NO_REGION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4"/>
        <v>1</v>
      </c>
      <c r="O655" t="b">
        <f t="shared" si="95"/>
        <v>1</v>
      </c>
      <c r="P655" t="b">
        <f t="shared" si="96"/>
        <v>1</v>
      </c>
      <c r="Q655" t="b">
        <f t="shared" si="97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90"/>
        <v>ALL_REGION_NO_REGION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4"/>
        <v>1</v>
      </c>
      <c r="O656" t="b">
        <f t="shared" si="95"/>
        <v>1</v>
      </c>
      <c r="P656" t="b">
        <f t="shared" si="96"/>
        <v>1</v>
      </c>
      <c r="Q656" t="b">
        <f t="shared" si="97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90"/>
        <v>ALL_REGION_NO_REGION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4"/>
        <v>1</v>
      </c>
      <c r="O657" t="b">
        <f t="shared" si="95"/>
        <v>1</v>
      </c>
      <c r="P657" t="b">
        <f t="shared" si="96"/>
        <v>1</v>
      </c>
      <c r="Q657" t="b">
        <f t="shared" si="97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90"/>
        <v>ALL_REGION_NO_REGION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4"/>
        <v>1</v>
      </c>
      <c r="O658" t="b">
        <f t="shared" si="95"/>
        <v>1</v>
      </c>
      <c r="P658" t="b">
        <f t="shared" si="96"/>
        <v>1</v>
      </c>
      <c r="Q658" t="b">
        <f t="shared" si="97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90"/>
        <v>ALL_REGION_NO_REGION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4"/>
        <v>1</v>
      </c>
      <c r="O659" t="b">
        <f t="shared" si="95"/>
        <v>1</v>
      </c>
      <c r="P659" t="b">
        <f t="shared" si="96"/>
        <v>1</v>
      </c>
      <c r="Q659" t="b">
        <f t="shared" si="97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90"/>
        <v>ALL_REGION_NO_REGION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4"/>
        <v>1</v>
      </c>
      <c r="O660" t="b">
        <f t="shared" si="95"/>
        <v>1</v>
      </c>
      <c r="P660" t="b">
        <f t="shared" si="96"/>
        <v>1</v>
      </c>
      <c r="Q660" t="b">
        <f t="shared" si="97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90"/>
        <v>ALL_REGION_NO_REGION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4"/>
        <v>1</v>
      </c>
      <c r="O661" t="b">
        <f t="shared" si="95"/>
        <v>1</v>
      </c>
      <c r="P661" t="b">
        <f t="shared" si="96"/>
        <v>1</v>
      </c>
      <c r="Q661" t="b">
        <f t="shared" si="97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90"/>
        <v>ALL_REGION_NO_REGION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4"/>
        <v>1</v>
      </c>
      <c r="O662" t="b">
        <f t="shared" si="95"/>
        <v>1</v>
      </c>
      <c r="P662" t="b">
        <f t="shared" si="96"/>
        <v>1</v>
      </c>
      <c r="Q662" t="b">
        <f t="shared" si="97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90"/>
        <v>ALL_REGION_NO_REGION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4"/>
        <v>1</v>
      </c>
      <c r="O663" t="b">
        <f t="shared" si="95"/>
        <v>1</v>
      </c>
      <c r="P663" t="b">
        <f t="shared" si="96"/>
        <v>1</v>
      </c>
      <c r="Q663" t="b">
        <f t="shared" si="97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90"/>
        <v>ALL_REGION_NO_REGION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4"/>
        <v>1</v>
      </c>
      <c r="O664" t="b">
        <f t="shared" si="95"/>
        <v>1</v>
      </c>
      <c r="P664" t="b">
        <f t="shared" si="96"/>
        <v>1</v>
      </c>
      <c r="Q664" t="b">
        <f t="shared" si="97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90"/>
        <v>ALL_REGION_NO_REGION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4"/>
        <v>1</v>
      </c>
      <c r="O665" t="b">
        <f t="shared" si="95"/>
        <v>1</v>
      </c>
      <c r="P665" t="b">
        <f t="shared" si="96"/>
        <v>1</v>
      </c>
      <c r="Q665" t="b">
        <f t="shared" si="97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90"/>
        <v>ALL_REGION_NO_REGION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4"/>
        <v>1</v>
      </c>
      <c r="O666" t="b">
        <f t="shared" si="95"/>
        <v>1</v>
      </c>
      <c r="P666" t="b">
        <f t="shared" si="96"/>
        <v>1</v>
      </c>
      <c r="Q666" t="b">
        <f t="shared" si="97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90"/>
        <v>ALL_REGION_NO_REGION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4"/>
        <v>1</v>
      </c>
      <c r="O667" t="b">
        <f t="shared" si="95"/>
        <v>1</v>
      </c>
      <c r="P667" t="b">
        <f t="shared" si="96"/>
        <v>1</v>
      </c>
      <c r="Q667" t="b">
        <f t="shared" si="97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90"/>
        <v>ALL_REGION_NO_REGION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4"/>
        <v>1</v>
      </c>
      <c r="O668" t="b">
        <f t="shared" si="95"/>
        <v>1</v>
      </c>
      <c r="P668" t="b">
        <f t="shared" si="96"/>
        <v>1</v>
      </c>
      <c r="Q668" t="b">
        <f t="shared" si="97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90"/>
        <v>ALL_REGION_NO_REGION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4"/>
        <v>1</v>
      </c>
      <c r="O669" t="b">
        <f t="shared" si="95"/>
        <v>1</v>
      </c>
      <c r="P669" t="b">
        <f t="shared" si="96"/>
        <v>1</v>
      </c>
      <c r="Q669" t="b">
        <f t="shared" si="97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90"/>
        <v>ALL_REGION_NO_REGION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4"/>
        <v>1</v>
      </c>
      <c r="O670" t="b">
        <f t="shared" si="95"/>
        <v>1</v>
      </c>
      <c r="P670" t="b">
        <f t="shared" si="96"/>
        <v>1</v>
      </c>
      <c r="Q670" t="b">
        <f t="shared" si="97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90"/>
        <v>ALL_REGION_NO_REGION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4"/>
        <v>1</v>
      </c>
      <c r="O671" t="b">
        <f t="shared" si="95"/>
        <v>1</v>
      </c>
      <c r="P671" t="b">
        <f t="shared" si="96"/>
        <v>1</v>
      </c>
      <c r="Q671" t="b">
        <f t="shared" si="97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90"/>
        <v>ALL_REGION_NO_REGION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4"/>
        <v>1</v>
      </c>
      <c r="O672" t="b">
        <f t="shared" si="95"/>
        <v>1</v>
      </c>
      <c r="P672" t="b">
        <f t="shared" si="96"/>
        <v>1</v>
      </c>
      <c r="Q672" t="b">
        <f t="shared" si="97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90"/>
        <v>ALL_REGION_NO_REGION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4"/>
        <v>1</v>
      </c>
      <c r="O673" t="b">
        <f t="shared" si="95"/>
        <v>1</v>
      </c>
      <c r="P673" t="b">
        <f t="shared" si="96"/>
        <v>1</v>
      </c>
      <c r="Q673" t="b">
        <f t="shared" si="97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90"/>
        <v>ALL_REGION_NO_REGION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4"/>
        <v>1</v>
      </c>
      <c r="O674" t="b">
        <f t="shared" si="95"/>
        <v>1</v>
      </c>
      <c r="P674" t="b">
        <f t="shared" si="96"/>
        <v>1</v>
      </c>
      <c r="Q674" t="b">
        <f t="shared" si="97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90"/>
        <v>ALL_REGION_NO_REGION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4"/>
        <v>1</v>
      </c>
      <c r="O675" t="b">
        <f t="shared" si="95"/>
        <v>1</v>
      </c>
      <c r="P675" t="b">
        <f t="shared" si="96"/>
        <v>1</v>
      </c>
      <c r="Q675" t="b">
        <f t="shared" si="97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90"/>
        <v>ALL_REGION_NO_REGION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4"/>
        <v>1</v>
      </c>
      <c r="O676" t="b">
        <f t="shared" si="95"/>
        <v>1</v>
      </c>
      <c r="P676" t="b">
        <f t="shared" si="96"/>
        <v>1</v>
      </c>
      <c r="Q676" t="b">
        <f t="shared" si="97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90"/>
        <v>ALL_REGION_NO_REGION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4"/>
        <v>1</v>
      </c>
      <c r="O677" t="b">
        <f t="shared" si="95"/>
        <v>1</v>
      </c>
      <c r="P677" t="b">
        <f t="shared" si="96"/>
        <v>1</v>
      </c>
      <c r="Q677" t="b">
        <f t="shared" si="97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90"/>
        <v>ALL_REGION_NO_REGION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4"/>
        <v>1</v>
      </c>
      <c r="O678" t="b">
        <f t="shared" si="95"/>
        <v>1</v>
      </c>
      <c r="P678" t="b">
        <f t="shared" si="96"/>
        <v>1</v>
      </c>
      <c r="Q678" t="b">
        <f t="shared" si="97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90"/>
        <v>ALL_REGION_NO_REGION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4"/>
        <v>1</v>
      </c>
      <c r="O679" t="b">
        <f t="shared" si="95"/>
        <v>1</v>
      </c>
      <c r="P679" t="b">
        <f t="shared" si="96"/>
        <v>1</v>
      </c>
      <c r="Q679" t="b">
        <f t="shared" si="97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90"/>
        <v>ALL_REGION_NO_REGION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4"/>
        <v>1</v>
      </c>
      <c r="O680" t="b">
        <f t="shared" si="95"/>
        <v>1</v>
      </c>
      <c r="P680" t="b">
        <f t="shared" si="96"/>
        <v>1</v>
      </c>
      <c r="Q680" t="b">
        <f t="shared" si="97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90"/>
        <v>ALL_REGION_NO_REGION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4"/>
        <v>1</v>
      </c>
      <c r="O681" t="b">
        <f t="shared" si="95"/>
        <v>1</v>
      </c>
      <c r="P681" t="b">
        <f t="shared" si="96"/>
        <v>1</v>
      </c>
      <c r="Q681" t="b">
        <f t="shared" si="97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90"/>
        <v>ALL_REGION_NO_REGION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4"/>
        <v>1</v>
      </c>
      <c r="O682" t="b">
        <f t="shared" si="95"/>
        <v>1</v>
      </c>
      <c r="P682" t="b">
        <f t="shared" si="96"/>
        <v>1</v>
      </c>
      <c r="Q682" t="b">
        <f t="shared" si="97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90"/>
        <v>ALL_REGION_NO_REGION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4"/>
        <v>1</v>
      </c>
      <c r="O683" t="b">
        <f t="shared" si="95"/>
        <v>1</v>
      </c>
      <c r="P683" t="b">
        <f t="shared" si="96"/>
        <v>1</v>
      </c>
      <c r="Q683" t="b">
        <f t="shared" si="97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90"/>
        <v>ALL_REGION_NO_REGION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4"/>
        <v>1</v>
      </c>
      <c r="O684" t="b">
        <f t="shared" si="95"/>
        <v>1</v>
      </c>
      <c r="P684" t="b">
        <f t="shared" si="96"/>
        <v>1</v>
      </c>
      <c r="Q684" t="b">
        <f t="shared" si="97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90"/>
        <v>ALL_REGION_NO_REGION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4"/>
        <v>1</v>
      </c>
      <c r="O685" t="b">
        <f t="shared" si="95"/>
        <v>1</v>
      </c>
      <c r="P685" t="b">
        <f t="shared" si="96"/>
        <v>1</v>
      </c>
      <c r="Q685" t="b">
        <f t="shared" si="97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90"/>
        <v>ALL_REGION_NO_REGION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4"/>
        <v>1</v>
      </c>
      <c r="O686" t="b">
        <f t="shared" si="95"/>
        <v>1</v>
      </c>
      <c r="P686" t="b">
        <f t="shared" si="96"/>
        <v>1</v>
      </c>
      <c r="Q686" t="b">
        <f t="shared" si="97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90"/>
        <v>ALL_REGION_NO_REGION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4"/>
        <v>1</v>
      </c>
      <c r="O687" t="b">
        <f t="shared" si="95"/>
        <v>1</v>
      </c>
      <c r="P687" t="b">
        <f t="shared" si="96"/>
        <v>1</v>
      </c>
      <c r="Q687" t="b">
        <f t="shared" si="97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90"/>
        <v>ALL_REGION_NO_REGION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4"/>
        <v>1</v>
      </c>
      <c r="O688" t="b">
        <f t="shared" si="95"/>
        <v>1</v>
      </c>
      <c r="P688" t="b">
        <f t="shared" si="96"/>
        <v>1</v>
      </c>
      <c r="Q688" t="b">
        <f t="shared" si="97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90"/>
        <v>ALL_REGION_NO_REGION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4"/>
        <v>1</v>
      </c>
      <c r="O689" t="b">
        <f t="shared" si="95"/>
        <v>1</v>
      </c>
      <c r="P689" t="b">
        <f t="shared" si="96"/>
        <v>1</v>
      </c>
      <c r="Q689" t="b">
        <f t="shared" si="97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90"/>
        <v>ALL_REGION_NO_REGION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4"/>
        <v>1</v>
      </c>
      <c r="O690" t="b">
        <f t="shared" si="95"/>
        <v>1</v>
      </c>
      <c r="P690" t="b">
        <f t="shared" si="96"/>
        <v>1</v>
      </c>
      <c r="Q690" t="b">
        <f t="shared" si="97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90"/>
        <v>ALL_REGION_NO_REGION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4"/>
        <v>1</v>
      </c>
      <c r="O691" t="b">
        <f t="shared" si="95"/>
        <v>1</v>
      </c>
      <c r="P691" t="b">
        <f t="shared" si="96"/>
        <v>1</v>
      </c>
      <c r="Q691" t="b">
        <f t="shared" si="97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90"/>
        <v>ALL_REGION_NO_REGION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4"/>
        <v>1</v>
      </c>
      <c r="O692" t="b">
        <f t="shared" si="95"/>
        <v>1</v>
      </c>
      <c r="P692" t="b">
        <f t="shared" si="96"/>
        <v>1</v>
      </c>
      <c r="Q692" t="b">
        <f t="shared" si="97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90"/>
        <v>ALL_REGION_NO_REGION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4"/>
        <v>1</v>
      </c>
      <c r="O693" t="b">
        <f t="shared" si="95"/>
        <v>1</v>
      </c>
      <c r="P693" t="b">
        <f t="shared" si="96"/>
        <v>1</v>
      </c>
      <c r="Q693" t="b">
        <f t="shared" si="97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90"/>
        <v>ALL_REGION_NO_REGION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4"/>
        <v>1</v>
      </c>
      <c r="O694" t="b">
        <f t="shared" si="95"/>
        <v>1</v>
      </c>
      <c r="P694" t="b">
        <f t="shared" si="96"/>
        <v>1</v>
      </c>
      <c r="Q694" t="b">
        <f t="shared" si="97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90"/>
        <v>ALL_REGION_NO_REGION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4"/>
        <v>1</v>
      </c>
      <c r="O695" t="b">
        <f t="shared" si="95"/>
        <v>1</v>
      </c>
      <c r="P695" t="b">
        <f t="shared" si="96"/>
        <v>1</v>
      </c>
      <c r="Q695" t="b">
        <f t="shared" si="97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90"/>
        <v>ALL_REGION_NO_REGION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4"/>
        <v>1</v>
      </c>
      <c r="O696" t="b">
        <f t="shared" si="95"/>
        <v>1</v>
      </c>
      <c r="P696" t="b">
        <f t="shared" si="96"/>
        <v>1</v>
      </c>
      <c r="Q696" t="b">
        <f t="shared" si="97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90"/>
        <v>ALL_REGION_NO_REGION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4"/>
        <v>1</v>
      </c>
      <c r="O697" t="b">
        <f t="shared" si="95"/>
        <v>1</v>
      </c>
      <c r="P697" t="b">
        <f t="shared" si="96"/>
        <v>1</v>
      </c>
      <c r="Q697" t="b">
        <f t="shared" si="97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90"/>
        <v>ALL_REGION_NO_REGION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4"/>
        <v>1</v>
      </c>
      <c r="O698" t="b">
        <f t="shared" si="95"/>
        <v>1</v>
      </c>
      <c r="P698" t="b">
        <f t="shared" si="96"/>
        <v>1</v>
      </c>
      <c r="Q698" t="b">
        <f t="shared" si="97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90"/>
        <v>ALL_REGION_NO_REGION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4"/>
        <v>1</v>
      </c>
      <c r="O699" t="b">
        <f t="shared" si="95"/>
        <v>1</v>
      </c>
      <c r="P699" t="b">
        <f t="shared" si="96"/>
        <v>1</v>
      </c>
      <c r="Q699" t="b">
        <f t="shared" si="97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90"/>
        <v>ALL_REGION_NO_REGION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4"/>
        <v>1</v>
      </c>
      <c r="O700" t="b">
        <f t="shared" si="95"/>
        <v>1</v>
      </c>
      <c r="P700" t="b">
        <f t="shared" si="96"/>
        <v>1</v>
      </c>
      <c r="Q700" t="b">
        <f t="shared" si="97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90"/>
        <v>ALL_REGION_NO_REGION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4"/>
        <v>1</v>
      </c>
      <c r="O701" t="b">
        <f t="shared" si="95"/>
        <v>1</v>
      </c>
      <c r="P701" t="b">
        <f t="shared" si="96"/>
        <v>1</v>
      </c>
      <c r="Q701" t="b">
        <f t="shared" si="97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90"/>
        <v>ALL_REGION_NO_REGION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4"/>
        <v>1</v>
      </c>
      <c r="O702" t="b">
        <f t="shared" si="95"/>
        <v>1</v>
      </c>
      <c r="P702" t="b">
        <f t="shared" si="96"/>
        <v>1</v>
      </c>
      <c r="Q702" t="b">
        <f t="shared" si="97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90"/>
        <v>ALL_REGION_NO_REGION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4"/>
        <v>1</v>
      </c>
      <c r="O703" t="b">
        <f t="shared" si="95"/>
        <v>1</v>
      </c>
      <c r="P703" t="b">
        <f t="shared" si="96"/>
        <v>1</v>
      </c>
      <c r="Q703" t="b">
        <f t="shared" si="97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90"/>
        <v>ALL_REGION_NO_REGION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4"/>
        <v>1</v>
      </c>
      <c r="O704" t="b">
        <f t="shared" si="95"/>
        <v>1</v>
      </c>
      <c r="P704" t="b">
        <f t="shared" si="96"/>
        <v>1</v>
      </c>
      <c r="Q704" t="b">
        <f t="shared" si="97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90"/>
        <v>ALL_REGION_NO_REGION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4"/>
        <v>1</v>
      </c>
      <c r="O705" t="b">
        <f t="shared" si="95"/>
        <v>1</v>
      </c>
      <c r="P705" t="b">
        <f t="shared" si="96"/>
        <v>1</v>
      </c>
      <c r="Q705" t="b">
        <f t="shared" si="97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90"/>
        <v>ALL_REGION_NO_REGION</v>
      </c>
      <c r="I706" t="b">
        <f t="shared" si="91"/>
        <v>1</v>
      </c>
      <c r="J706" t="b">
        <f t="shared" si="98"/>
        <v>1</v>
      </c>
      <c r="K706" t="b">
        <f t="shared" si="92"/>
        <v>1</v>
      </c>
      <c r="L706" t="b">
        <f t="shared" si="93"/>
        <v>1</v>
      </c>
      <c r="M706" t="b">
        <f t="shared" si="94"/>
        <v>1</v>
      </c>
      <c r="N706" t="b">
        <f t="shared" si="94"/>
        <v>1</v>
      </c>
      <c r="O706" t="b">
        <f t="shared" si="95"/>
        <v>1</v>
      </c>
      <c r="P706" t="b">
        <f t="shared" si="96"/>
        <v>1</v>
      </c>
      <c r="Q706" t="b">
        <f t="shared" si="97"/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99">_xlfn.CONCAT($F707,"_",$G707)</f>
        <v>ALL_REGION_NO_REGION</v>
      </c>
      <c r="I707" t="b">
        <f t="shared" ref="I707:I770" si="100">OR(ISNUMBER(SEARCH("ALL_REGION",$H707)),
ISNUMBER(SEARCH("AFRICA",$H707)),
ISNUMBER(SEARCH("REGIONTYPE1",$H707)),
ISNUMBER(SEARCH("REGIONTYPE2",$H707)))</f>
        <v>1</v>
      </c>
      <c r="J707" t="b">
        <f t="shared" si="98"/>
        <v>1</v>
      </c>
      <c r="K707" t="b">
        <f t="shared" ref="K707:K770" si="101">OR(ISNUMBER(SEARCH("ALL_REGION",$H707)),
ISNUMBER(SEARCH("ALL_EUROPE",$H707)),
ISNUMBER(SEARCH(K$1,$H707)),
ISNUMBER(SEARCH("REGIONTYPE1",$H707)))</f>
        <v>1</v>
      </c>
      <c r="L707" t="b">
        <f t="shared" ref="L707:L770" si="102">OR(ISNUMBER(SEARCH("ALL_REGION",$H707)),
ISNUMBER(SEARCH("ALL_EUROPE",$H707)),
ISNUMBER(SEARCH(L$1,$H707)),
ISNUMBER(SEARCH("REGIONTYPE1",$H707)),
ISNUMBER(SEARCH("REGIONTYPE4",$H707)),
ISNUMBER(SEARCH("REGIONTYPE5",$H707)))</f>
        <v>1</v>
      </c>
      <c r="M707" t="b">
        <f t="shared" ref="M707:N770" si="103">OR(ISNUMBER(SEARCH("ALL_REGION",$H707)),
ISNUMBER(SEARCH("ALL_EUROPE",$H707)),
ISNUMBER(SEARCH(M$1,$H707)),
ISNUMBER(SEARCH("REGIONTYPE1",$H707)),
ISNUMBER(SEARCH("REGIONTYPE6",$H707)))</f>
        <v>1</v>
      </c>
      <c r="N707" t="b">
        <f t="shared" si="103"/>
        <v>1</v>
      </c>
      <c r="O707" t="b">
        <f t="shared" ref="O707:O770" si="104">OR(ISNUMBER(SEARCH("ALL_REGION",$H707)),
ISNUMBER(SEARCH("ALL_AMERICA",$H707)),
ISNUMBER(SEARCH(O$1,$H707)),
ISNUMBER(SEARCH("REGIONTYPE2",$H707)))</f>
        <v>1</v>
      </c>
      <c r="P707" t="b">
        <f t="shared" ref="P707:P770" si="105">OR(ISNUMBER(SEARCH("ALL_REGION",$H707)),
ISNUMBER(SEARCH("ALL_AMERICA",$H707)),
ISNUMBER(SEARCH(P$1,$H707)),
ISNUMBER(SEARCH("REGIONTYPE2",$H707)),
ISNUMBER(SEARCH("REGIONTYPE5",$H707)))</f>
        <v>1</v>
      </c>
      <c r="Q707" t="b">
        <f t="shared" ref="Q707:Q770" si="106">OR(ISNUMBER(SEARCH("ALL_REGION",$H707)),
ISNUMBER(SEARCH(Q$1,$H707)),
ISNUMBER(SEARCH("REGIONTYPE3",$H707)))</f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99"/>
        <v>ALL_REGION_NO_REGION</v>
      </c>
      <c r="I708" t="b">
        <f t="shared" si="100"/>
        <v>1</v>
      </c>
      <c r="J708" t="b">
        <f t="shared" ref="J708:J771" si="107">OR(ISNUMBER(SEARCH("ALL_REGION",$H708)),
ISNUMBER(SEARCH("ASIA",$H708)),
ISNUMBER(SEARCH("REGIONTYPE1",$H708)),
ISNUMBER(SEARCH("REGIONTYPE2",$H708)),
ISNUMBER(SEARCH("REGIONTYPE3",$H708)),
ISNUMBER(SEARCH("REGIONTYPE4",$H708)))</f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3"/>
        <v>1</v>
      </c>
      <c r="O708" t="b">
        <f t="shared" si="104"/>
        <v>1</v>
      </c>
      <c r="P708" t="b">
        <f t="shared" si="105"/>
        <v>1</v>
      </c>
      <c r="Q708" t="b">
        <f t="shared" si="10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99"/>
        <v>ALL_REGION_NO_REGION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3"/>
        <v>1</v>
      </c>
      <c r="O709" t="b">
        <f t="shared" si="104"/>
        <v>1</v>
      </c>
      <c r="P709" t="b">
        <f t="shared" si="105"/>
        <v>1</v>
      </c>
      <c r="Q709" t="b">
        <f t="shared" si="10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99"/>
        <v>ALL_REGION_NO_REGION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3"/>
        <v>1</v>
      </c>
      <c r="O710" t="b">
        <f t="shared" si="104"/>
        <v>1</v>
      </c>
      <c r="P710" t="b">
        <f t="shared" si="105"/>
        <v>1</v>
      </c>
      <c r="Q710" t="b">
        <f t="shared" si="10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99"/>
        <v>ALL_REGION_NO_REGION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3"/>
        <v>1</v>
      </c>
      <c r="O711" t="b">
        <f t="shared" si="104"/>
        <v>1</v>
      </c>
      <c r="P711" t="b">
        <f t="shared" si="105"/>
        <v>1</v>
      </c>
      <c r="Q711" t="b">
        <f t="shared" si="10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99"/>
        <v>ALL_REGION_NO_REGION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3"/>
        <v>1</v>
      </c>
      <c r="O712" t="b">
        <f t="shared" si="104"/>
        <v>1</v>
      </c>
      <c r="P712" t="b">
        <f t="shared" si="105"/>
        <v>1</v>
      </c>
      <c r="Q712" t="b">
        <f t="shared" si="10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99"/>
        <v>ALL_REGION_NO_REGION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3"/>
        <v>1</v>
      </c>
      <c r="O713" t="b">
        <f t="shared" si="104"/>
        <v>1</v>
      </c>
      <c r="P713" t="b">
        <f t="shared" si="105"/>
        <v>1</v>
      </c>
      <c r="Q713" t="b">
        <f t="shared" si="10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99"/>
        <v>ALL_REGION_NO_REGION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3"/>
        <v>1</v>
      </c>
      <c r="O714" t="b">
        <f t="shared" si="104"/>
        <v>1</v>
      </c>
      <c r="P714" t="b">
        <f t="shared" si="105"/>
        <v>1</v>
      </c>
      <c r="Q714" t="b">
        <f t="shared" si="10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99"/>
        <v>ALL_REGION_NO_REGION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3"/>
        <v>1</v>
      </c>
      <c r="O715" t="b">
        <f t="shared" si="104"/>
        <v>1</v>
      </c>
      <c r="P715" t="b">
        <f t="shared" si="105"/>
        <v>1</v>
      </c>
      <c r="Q715" t="b">
        <f t="shared" si="10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99"/>
        <v>ALL_REGION_NO_REGION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3"/>
        <v>1</v>
      </c>
      <c r="O716" t="b">
        <f t="shared" si="104"/>
        <v>1</v>
      </c>
      <c r="P716" t="b">
        <f t="shared" si="105"/>
        <v>1</v>
      </c>
      <c r="Q716" t="b">
        <f t="shared" si="10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99"/>
        <v>ALL_REGION_NO_REGION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3"/>
        <v>1</v>
      </c>
      <c r="O717" t="b">
        <f t="shared" si="104"/>
        <v>1</v>
      </c>
      <c r="P717" t="b">
        <f t="shared" si="105"/>
        <v>1</v>
      </c>
      <c r="Q717" t="b">
        <f t="shared" si="10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99"/>
        <v>ALL_REGION_NO_REGION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3"/>
        <v>1</v>
      </c>
      <c r="O718" t="b">
        <f t="shared" si="104"/>
        <v>1</v>
      </c>
      <c r="P718" t="b">
        <f t="shared" si="105"/>
        <v>1</v>
      </c>
      <c r="Q718" t="b">
        <f t="shared" si="10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REGIONTYPE1</v>
      </c>
      <c r="G719" s="31" t="str">
        <f>_xlfn.XLOOKUP($A719,PROPERTIES[VEHIDCODE],PROPERTIES[REGION2])</f>
        <v>OCEANIA</v>
      </c>
      <c r="H719" s="31" t="str">
        <f t="shared" si="99"/>
        <v>REGIONTYPE1_OCEANIA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1</v>
      </c>
      <c r="N719" t="b">
        <f t="shared" si="103"/>
        <v>1</v>
      </c>
      <c r="O719" t="b">
        <f t="shared" si="104"/>
        <v>0</v>
      </c>
      <c r="P719" t="b">
        <f t="shared" si="105"/>
        <v>0</v>
      </c>
      <c r="Q719" t="b">
        <f t="shared" si="10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99"/>
        <v>ALL_REGION_NO_REGION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3"/>
        <v>1</v>
      </c>
      <c r="O720" t="b">
        <f t="shared" si="104"/>
        <v>1</v>
      </c>
      <c r="P720" t="b">
        <f t="shared" si="105"/>
        <v>1</v>
      </c>
      <c r="Q720" t="b">
        <f t="shared" si="10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99"/>
        <v>ALL_REGION_NO_REGION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3"/>
        <v>1</v>
      </c>
      <c r="O721" t="b">
        <f t="shared" si="104"/>
        <v>1</v>
      </c>
      <c r="P721" t="b">
        <f t="shared" si="105"/>
        <v>1</v>
      </c>
      <c r="Q721" t="b">
        <f t="shared" si="10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REGIONTYPE1</v>
      </c>
      <c r="G722" s="31" t="str">
        <f>_xlfn.XLOOKUP($A722,PROPERTIES[VEHIDCODE],PROPERTIES[REGION2])</f>
        <v>OCEANIA</v>
      </c>
      <c r="H722" s="31" t="str">
        <f t="shared" si="99"/>
        <v>REGIONTYPE1_OCEANIA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1</v>
      </c>
      <c r="N722" t="b">
        <f t="shared" si="103"/>
        <v>1</v>
      </c>
      <c r="O722" t="b">
        <f t="shared" si="104"/>
        <v>0</v>
      </c>
      <c r="P722" t="b">
        <f t="shared" si="105"/>
        <v>0</v>
      </c>
      <c r="Q722" t="b">
        <f t="shared" si="10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99"/>
        <v>ALL_REGION_NO_REGION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3"/>
        <v>1</v>
      </c>
      <c r="O723" t="b">
        <f t="shared" si="104"/>
        <v>1</v>
      </c>
      <c r="P723" t="b">
        <f t="shared" si="105"/>
        <v>1</v>
      </c>
      <c r="Q723" t="b">
        <f t="shared" si="10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99"/>
        <v>ALL_REGION_NO_REGION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3"/>
        <v>1</v>
      </c>
      <c r="O724" t="b">
        <f t="shared" si="104"/>
        <v>1</v>
      </c>
      <c r="P724" t="b">
        <f t="shared" si="105"/>
        <v>1</v>
      </c>
      <c r="Q724" t="b">
        <f t="shared" si="10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REGIONTYPE1</v>
      </c>
      <c r="G725" s="31" t="str">
        <f>_xlfn.XLOOKUP($A725,PROPERTIES[VEHIDCODE],PROPERTIES[REGION2])</f>
        <v>OCEANIA</v>
      </c>
      <c r="H725" s="31" t="str">
        <f t="shared" si="99"/>
        <v>REGIONTYPE1_OCEANIA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1</v>
      </c>
      <c r="N725" t="b">
        <f t="shared" si="103"/>
        <v>1</v>
      </c>
      <c r="O725" t="b">
        <f t="shared" si="104"/>
        <v>0</v>
      </c>
      <c r="P725" t="b">
        <f t="shared" si="105"/>
        <v>0</v>
      </c>
      <c r="Q725" t="b">
        <f t="shared" si="10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REGIONTYPE1</v>
      </c>
      <c r="G726" s="31" t="str">
        <f>_xlfn.XLOOKUP($A726,PROPERTIES[VEHIDCODE],PROPERTIES[REGION2])</f>
        <v>OCEANIA</v>
      </c>
      <c r="H726" s="31" t="str">
        <f t="shared" si="99"/>
        <v>REGIONTYPE1_OCEANIA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1</v>
      </c>
      <c r="N726" t="b">
        <f t="shared" si="103"/>
        <v>1</v>
      </c>
      <c r="O726" t="b">
        <f t="shared" si="104"/>
        <v>0</v>
      </c>
      <c r="P726" t="b">
        <f t="shared" si="105"/>
        <v>0</v>
      </c>
      <c r="Q726" t="b">
        <f t="shared" si="10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REGIONTYPE1</v>
      </c>
      <c r="G727" s="31" t="str">
        <f>_xlfn.XLOOKUP($A727,PROPERTIES[VEHIDCODE],PROPERTIES[REGION2])</f>
        <v>OCEANIA</v>
      </c>
      <c r="H727" s="31" t="str">
        <f t="shared" si="99"/>
        <v>REGIONTYPE1_OCEANIA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1</v>
      </c>
      <c r="N727" t="b">
        <f t="shared" si="103"/>
        <v>1</v>
      </c>
      <c r="O727" t="b">
        <f t="shared" si="104"/>
        <v>0</v>
      </c>
      <c r="P727" t="b">
        <f t="shared" si="105"/>
        <v>0</v>
      </c>
      <c r="Q727" t="b">
        <f t="shared" si="10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99"/>
        <v>ALL_AMERICA_OCEANIA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0</v>
      </c>
      <c r="N728" t="b">
        <f t="shared" si="103"/>
        <v>0</v>
      </c>
      <c r="O728" t="b">
        <f t="shared" si="104"/>
        <v>1</v>
      </c>
      <c r="P728" t="b">
        <f t="shared" si="105"/>
        <v>1</v>
      </c>
      <c r="Q728" t="b">
        <f t="shared" si="10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99"/>
        <v>ALL_AMERICA_OCEANIA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0</v>
      </c>
      <c r="N729" t="b">
        <f t="shared" si="103"/>
        <v>0</v>
      </c>
      <c r="O729" t="b">
        <f t="shared" si="104"/>
        <v>1</v>
      </c>
      <c r="P729" t="b">
        <f t="shared" si="105"/>
        <v>1</v>
      </c>
      <c r="Q729" t="b">
        <f t="shared" si="10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REGIONTYPE1</v>
      </c>
      <c r="G730" s="31" t="str">
        <f>_xlfn.XLOOKUP($A730,PROPERTIES[VEHIDCODE],PROPERTIES[REGION2])</f>
        <v>OCEANIA</v>
      </c>
      <c r="H730" s="31" t="str">
        <f t="shared" si="99"/>
        <v>REGIONTYPE1_OCEANIA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1</v>
      </c>
      <c r="N730" t="b">
        <f t="shared" si="103"/>
        <v>1</v>
      </c>
      <c r="O730" t="b">
        <f t="shared" si="104"/>
        <v>0</v>
      </c>
      <c r="P730" t="b">
        <f t="shared" si="105"/>
        <v>0</v>
      </c>
      <c r="Q730" t="b">
        <f t="shared" si="10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REGIONTYPE1</v>
      </c>
      <c r="G731" s="31" t="str">
        <f>_xlfn.XLOOKUP($A731,PROPERTIES[VEHIDCODE],PROPERTIES[REGION2])</f>
        <v>OCEANIA</v>
      </c>
      <c r="H731" s="31" t="str">
        <f t="shared" si="99"/>
        <v>REGIONTYPE1_OCEANIA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1</v>
      </c>
      <c r="N731" t="b">
        <f t="shared" si="103"/>
        <v>1</v>
      </c>
      <c r="O731" t="b">
        <f t="shared" si="104"/>
        <v>0</v>
      </c>
      <c r="P731" t="b">
        <f t="shared" si="105"/>
        <v>0</v>
      </c>
      <c r="Q731" t="b">
        <f t="shared" si="10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REGIONTYPE1</v>
      </c>
      <c r="G732" s="31" t="str">
        <f>_xlfn.XLOOKUP($A732,PROPERTIES[VEHIDCODE],PROPERTIES[REGION2])</f>
        <v>OCEANIA</v>
      </c>
      <c r="H732" s="31" t="str">
        <f t="shared" si="99"/>
        <v>REGIONTYPE1_OCEANIA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1</v>
      </c>
      <c r="N732" t="b">
        <f t="shared" si="103"/>
        <v>1</v>
      </c>
      <c r="O732" t="b">
        <f t="shared" si="104"/>
        <v>0</v>
      </c>
      <c r="P732" t="b">
        <f t="shared" si="105"/>
        <v>0</v>
      </c>
      <c r="Q732" t="b">
        <f t="shared" si="10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REGIONTYPE1</v>
      </c>
      <c r="G733" s="31" t="str">
        <f>_xlfn.XLOOKUP($A733,PROPERTIES[VEHIDCODE],PROPERTIES[REGION2])</f>
        <v>OCEANIA</v>
      </c>
      <c r="H733" s="31" t="str">
        <f t="shared" si="99"/>
        <v>REGIONTYPE1_OCEANIA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1</v>
      </c>
      <c r="N733" t="b">
        <f t="shared" si="103"/>
        <v>1</v>
      </c>
      <c r="O733" t="b">
        <f t="shared" si="104"/>
        <v>0</v>
      </c>
      <c r="P733" t="b">
        <f t="shared" si="105"/>
        <v>0</v>
      </c>
      <c r="Q733" t="b">
        <f t="shared" si="10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REGIONTYPE1</v>
      </c>
      <c r="G734" s="31" t="str">
        <f>_xlfn.XLOOKUP($A734,PROPERTIES[VEHIDCODE],PROPERTIES[REGION2])</f>
        <v>OCEANIA</v>
      </c>
      <c r="H734" s="31" t="str">
        <f t="shared" si="99"/>
        <v>REGIONTYPE1_OCEANIA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1</v>
      </c>
      <c r="N734" t="b">
        <f t="shared" si="103"/>
        <v>1</v>
      </c>
      <c r="O734" t="b">
        <f t="shared" si="104"/>
        <v>0</v>
      </c>
      <c r="P734" t="b">
        <f t="shared" si="105"/>
        <v>0</v>
      </c>
      <c r="Q734" t="b">
        <f t="shared" si="10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99"/>
        <v>ALL_REGION_NO_REGION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3"/>
        <v>1</v>
      </c>
      <c r="O735" t="b">
        <f t="shared" si="104"/>
        <v>1</v>
      </c>
      <c r="P735" t="b">
        <f t="shared" si="105"/>
        <v>1</v>
      </c>
      <c r="Q735" t="b">
        <f t="shared" si="10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99"/>
        <v>ALL_REGION_NO_REGION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3"/>
        <v>1</v>
      </c>
      <c r="O736" t="b">
        <f t="shared" si="104"/>
        <v>1</v>
      </c>
      <c r="P736" t="b">
        <f t="shared" si="105"/>
        <v>1</v>
      </c>
      <c r="Q736" t="b">
        <f t="shared" si="10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REGIONTYPE1</v>
      </c>
      <c r="G737" s="31" t="str">
        <f>_xlfn.XLOOKUP($A737,PROPERTIES[VEHIDCODE],PROPERTIES[REGION2])</f>
        <v>OCEANIA</v>
      </c>
      <c r="H737" s="31" t="str">
        <f t="shared" si="99"/>
        <v>REGIONTYPE1_OCEANIA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1</v>
      </c>
      <c r="N737" t="b">
        <f t="shared" si="103"/>
        <v>1</v>
      </c>
      <c r="O737" t="b">
        <f t="shared" si="104"/>
        <v>0</v>
      </c>
      <c r="P737" t="b">
        <f t="shared" si="105"/>
        <v>0</v>
      </c>
      <c r="Q737" t="b">
        <f t="shared" si="10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REGIONTYPE1</v>
      </c>
      <c r="G738" s="31" t="str">
        <f>_xlfn.XLOOKUP($A738,PROPERTIES[VEHIDCODE],PROPERTIES[REGION2])</f>
        <v>OCEANIA</v>
      </c>
      <c r="H738" s="31" t="str">
        <f t="shared" si="99"/>
        <v>REGIONTYPE1_OCEANIA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1</v>
      </c>
      <c r="N738" t="b">
        <f t="shared" si="103"/>
        <v>1</v>
      </c>
      <c r="O738" t="b">
        <f t="shared" si="104"/>
        <v>0</v>
      </c>
      <c r="P738" t="b">
        <f t="shared" si="105"/>
        <v>0</v>
      </c>
      <c r="Q738" t="b">
        <f t="shared" si="10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REGIONTYPE1</v>
      </c>
      <c r="G739" s="31" t="str">
        <f>_xlfn.XLOOKUP($A739,PROPERTIES[VEHIDCODE],PROPERTIES[REGION2])</f>
        <v>OCEANIA</v>
      </c>
      <c r="H739" s="31" t="str">
        <f t="shared" si="99"/>
        <v>REGIONTYPE1_OCEANIA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1</v>
      </c>
      <c r="N739" t="b">
        <f t="shared" si="103"/>
        <v>1</v>
      </c>
      <c r="O739" t="b">
        <f t="shared" si="104"/>
        <v>0</v>
      </c>
      <c r="P739" t="b">
        <f t="shared" si="105"/>
        <v>0</v>
      </c>
      <c r="Q739" t="b">
        <f t="shared" si="10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REGIONTYPE3</v>
      </c>
      <c r="G740" s="31" t="str">
        <f>_xlfn.XLOOKUP($A740,PROPERTIES[VEHIDCODE],PROPERTIES[REGION2])</f>
        <v>ALL_AMERICA</v>
      </c>
      <c r="H740" s="31" t="str">
        <f t="shared" si="99"/>
        <v>REGIONTYPE3_ALL_AMERICA</v>
      </c>
      <c r="I740" t="b">
        <f t="shared" si="100"/>
        <v>0</v>
      </c>
      <c r="J740" t="b">
        <f t="shared" si="107"/>
        <v>1</v>
      </c>
      <c r="K740" t="b">
        <f t="shared" si="101"/>
        <v>0</v>
      </c>
      <c r="L740" t="b">
        <f t="shared" si="102"/>
        <v>0</v>
      </c>
      <c r="M740" t="b">
        <f t="shared" si="103"/>
        <v>0</v>
      </c>
      <c r="N740" t="b">
        <f t="shared" si="103"/>
        <v>0</v>
      </c>
      <c r="O740" t="b">
        <f t="shared" si="104"/>
        <v>1</v>
      </c>
      <c r="P740" t="b">
        <f t="shared" si="105"/>
        <v>1</v>
      </c>
      <c r="Q740" t="b">
        <f t="shared" si="10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REGIONTYPE3</v>
      </c>
      <c r="G741" s="31" t="str">
        <f>_xlfn.XLOOKUP($A741,PROPERTIES[VEHIDCODE],PROPERTIES[REGION2])</f>
        <v>ALL_AMERICA</v>
      </c>
      <c r="H741" s="31" t="str">
        <f t="shared" si="99"/>
        <v>REGIONTYPE3_ALL_AMERICA</v>
      </c>
      <c r="I741" t="b">
        <f t="shared" si="100"/>
        <v>0</v>
      </c>
      <c r="J741" t="b">
        <f t="shared" si="107"/>
        <v>1</v>
      </c>
      <c r="K741" t="b">
        <f t="shared" si="101"/>
        <v>0</v>
      </c>
      <c r="L741" t="b">
        <f t="shared" si="102"/>
        <v>0</v>
      </c>
      <c r="M741" t="b">
        <f t="shared" si="103"/>
        <v>0</v>
      </c>
      <c r="N741" t="b">
        <f t="shared" si="103"/>
        <v>0</v>
      </c>
      <c r="O741" t="b">
        <f t="shared" si="104"/>
        <v>1</v>
      </c>
      <c r="P741" t="b">
        <f t="shared" si="105"/>
        <v>1</v>
      </c>
      <c r="Q741" t="b">
        <f t="shared" si="10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REGIONTYPE3</v>
      </c>
      <c r="G742" s="31" t="str">
        <f>_xlfn.XLOOKUP($A742,PROPERTIES[VEHIDCODE],PROPERTIES[REGION2])</f>
        <v>ALL_AMERICA</v>
      </c>
      <c r="H742" s="31" t="str">
        <f t="shared" si="99"/>
        <v>REGIONTYPE3_ALL_AMERICA</v>
      </c>
      <c r="I742" t="b">
        <f t="shared" si="100"/>
        <v>0</v>
      </c>
      <c r="J742" t="b">
        <f t="shared" si="107"/>
        <v>1</v>
      </c>
      <c r="K742" t="b">
        <f t="shared" si="101"/>
        <v>0</v>
      </c>
      <c r="L742" t="b">
        <f t="shared" si="102"/>
        <v>0</v>
      </c>
      <c r="M742" t="b">
        <f t="shared" si="103"/>
        <v>0</v>
      </c>
      <c r="N742" t="b">
        <f t="shared" si="103"/>
        <v>0</v>
      </c>
      <c r="O742" t="b">
        <f t="shared" si="104"/>
        <v>1</v>
      </c>
      <c r="P742" t="b">
        <f t="shared" si="105"/>
        <v>1</v>
      </c>
      <c r="Q742" t="b">
        <f t="shared" si="10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REGIONTYPE1</v>
      </c>
      <c r="G743" s="31" t="str">
        <f>_xlfn.XLOOKUP($A743,PROPERTIES[VEHIDCODE],PROPERTIES[REGION2])</f>
        <v>OCEANIA</v>
      </c>
      <c r="H743" s="31" t="str">
        <f t="shared" si="99"/>
        <v>REGIONTYPE1_OCEANIA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1</v>
      </c>
      <c r="N743" t="b">
        <f t="shared" si="103"/>
        <v>1</v>
      </c>
      <c r="O743" t="b">
        <f t="shared" si="104"/>
        <v>0</v>
      </c>
      <c r="P743" t="b">
        <f t="shared" si="105"/>
        <v>0</v>
      </c>
      <c r="Q743" t="b">
        <f t="shared" si="10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99"/>
        <v>ALL_AMERICA_OCEANIA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0</v>
      </c>
      <c r="N744" t="b">
        <f t="shared" si="103"/>
        <v>0</v>
      </c>
      <c r="O744" t="b">
        <f t="shared" si="104"/>
        <v>1</v>
      </c>
      <c r="P744" t="b">
        <f t="shared" si="105"/>
        <v>1</v>
      </c>
      <c r="Q744" t="b">
        <f t="shared" si="10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99"/>
        <v>ALL_AMERICA_OCEANIA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0</v>
      </c>
      <c r="N745" t="b">
        <f t="shared" si="103"/>
        <v>0</v>
      </c>
      <c r="O745" t="b">
        <f t="shared" si="104"/>
        <v>1</v>
      </c>
      <c r="P745" t="b">
        <f t="shared" si="105"/>
        <v>1</v>
      </c>
      <c r="Q745" t="b">
        <f t="shared" si="10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99"/>
        <v>ALL_AMERICA_OCEANIA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0</v>
      </c>
      <c r="N746" t="b">
        <f t="shared" si="103"/>
        <v>0</v>
      </c>
      <c r="O746" t="b">
        <f t="shared" si="104"/>
        <v>1</v>
      </c>
      <c r="P746" t="b">
        <f t="shared" si="105"/>
        <v>1</v>
      </c>
      <c r="Q746" t="b">
        <f t="shared" si="10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REGIONTYPE1</v>
      </c>
      <c r="G747" s="31" t="str">
        <f>_xlfn.XLOOKUP($A747,PROPERTIES[VEHIDCODE],PROPERTIES[REGION2])</f>
        <v>NO_REGION</v>
      </c>
      <c r="H747" s="31" t="str">
        <f t="shared" si="99"/>
        <v>REGIONTYPE1_NO_REGION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1</v>
      </c>
      <c r="N747" t="b">
        <f t="shared" si="103"/>
        <v>1</v>
      </c>
      <c r="O747" t="b">
        <f t="shared" si="104"/>
        <v>0</v>
      </c>
      <c r="P747" t="b">
        <f t="shared" si="105"/>
        <v>0</v>
      </c>
      <c r="Q747" t="b">
        <f t="shared" si="10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REGIONTYPE1</v>
      </c>
      <c r="G748" s="31" t="str">
        <f>_xlfn.XLOOKUP($A748,PROPERTIES[VEHIDCODE],PROPERTIES[REGION2])</f>
        <v>NO_REGION</v>
      </c>
      <c r="H748" s="31" t="str">
        <f t="shared" si="99"/>
        <v>REGIONTYPE1_NO_REGION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1</v>
      </c>
      <c r="N748" t="b">
        <f t="shared" si="103"/>
        <v>1</v>
      </c>
      <c r="O748" t="b">
        <f t="shared" si="104"/>
        <v>0</v>
      </c>
      <c r="P748" t="b">
        <f t="shared" si="105"/>
        <v>0</v>
      </c>
      <c r="Q748" t="b">
        <f t="shared" si="10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REGIONTYPE1</v>
      </c>
      <c r="G749" s="31" t="str">
        <f>_xlfn.XLOOKUP($A749,PROPERTIES[VEHIDCODE],PROPERTIES[REGION2])</f>
        <v>NO_REGION</v>
      </c>
      <c r="H749" s="31" t="str">
        <f t="shared" si="99"/>
        <v>REGIONTYPE1_NO_REGION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1</v>
      </c>
      <c r="N749" t="b">
        <f t="shared" si="103"/>
        <v>1</v>
      </c>
      <c r="O749" t="b">
        <f t="shared" si="104"/>
        <v>0</v>
      </c>
      <c r="P749" t="b">
        <f t="shared" si="105"/>
        <v>0</v>
      </c>
      <c r="Q749" t="b">
        <f t="shared" si="10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REGIONTYPE1</v>
      </c>
      <c r="G750" s="31" t="str">
        <f>_xlfn.XLOOKUP($A750,PROPERTIES[VEHIDCODE],PROPERTIES[REGION2])</f>
        <v>NO_REGION</v>
      </c>
      <c r="H750" s="31" t="str">
        <f t="shared" si="99"/>
        <v>REGIONTYPE1_NO_REGION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1</v>
      </c>
      <c r="N750" t="b">
        <f t="shared" si="103"/>
        <v>1</v>
      </c>
      <c r="O750" t="b">
        <f t="shared" si="104"/>
        <v>0</v>
      </c>
      <c r="P750" t="b">
        <f t="shared" si="105"/>
        <v>0</v>
      </c>
      <c r="Q750" t="b">
        <f t="shared" si="10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99"/>
        <v>ALL_EUROPE_NO_REGION</v>
      </c>
      <c r="I751" t="b">
        <f t="shared" si="100"/>
        <v>0</v>
      </c>
      <c r="J751" t="b">
        <f t="shared" si="107"/>
        <v>0</v>
      </c>
      <c r="K751" t="b">
        <f t="shared" si="101"/>
        <v>1</v>
      </c>
      <c r="L751" t="b">
        <f t="shared" si="102"/>
        <v>1</v>
      </c>
      <c r="M751" t="b">
        <f t="shared" si="103"/>
        <v>1</v>
      </c>
      <c r="N751" t="b">
        <f t="shared" si="103"/>
        <v>1</v>
      </c>
      <c r="O751" t="b">
        <f t="shared" si="104"/>
        <v>0</v>
      </c>
      <c r="P751" t="b">
        <f t="shared" si="105"/>
        <v>0</v>
      </c>
      <c r="Q751" t="b">
        <f t="shared" si="10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REGIONTYPE1</v>
      </c>
      <c r="G752" s="31" t="str">
        <f>_xlfn.XLOOKUP($A752,PROPERTIES[VEHIDCODE],PROPERTIES[REGION2])</f>
        <v>NO_REGION</v>
      </c>
      <c r="H752" s="31" t="str">
        <f t="shared" si="99"/>
        <v>REGIONTYPE1_NO_REGION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1</v>
      </c>
      <c r="N752" t="b">
        <f t="shared" si="103"/>
        <v>1</v>
      </c>
      <c r="O752" t="b">
        <f t="shared" si="104"/>
        <v>0</v>
      </c>
      <c r="P752" t="b">
        <f t="shared" si="105"/>
        <v>0</v>
      </c>
      <c r="Q752" t="b">
        <f t="shared" si="10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REGIONTYPE1</v>
      </c>
      <c r="G753" s="31" t="str">
        <f>_xlfn.XLOOKUP($A753,PROPERTIES[VEHIDCODE],PROPERTIES[REGION2])</f>
        <v>NO_REGION</v>
      </c>
      <c r="H753" s="31" t="str">
        <f t="shared" si="99"/>
        <v>REGIONTYPE1_NO_REGION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1</v>
      </c>
      <c r="N753" t="b">
        <f t="shared" si="103"/>
        <v>1</v>
      </c>
      <c r="O753" t="b">
        <f t="shared" si="104"/>
        <v>0</v>
      </c>
      <c r="P753" t="b">
        <f t="shared" si="105"/>
        <v>0</v>
      </c>
      <c r="Q753" t="b">
        <f t="shared" si="10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REGIONTYPE1</v>
      </c>
      <c r="G754" s="31" t="str">
        <f>_xlfn.XLOOKUP($A754,PROPERTIES[VEHIDCODE],PROPERTIES[REGION2])</f>
        <v>NO_REGION</v>
      </c>
      <c r="H754" s="31" t="str">
        <f t="shared" si="99"/>
        <v>REGIONTYPE1_NO_REGION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1</v>
      </c>
      <c r="N754" t="b">
        <f t="shared" si="103"/>
        <v>1</v>
      </c>
      <c r="O754" t="b">
        <f t="shared" si="104"/>
        <v>0</v>
      </c>
      <c r="P754" t="b">
        <f t="shared" si="105"/>
        <v>0</v>
      </c>
      <c r="Q754" t="b">
        <f t="shared" si="10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REGIONTYPE1</v>
      </c>
      <c r="G755" s="31" t="str">
        <f>_xlfn.XLOOKUP($A755,PROPERTIES[VEHIDCODE],PROPERTIES[REGION2])</f>
        <v>NO_REGION</v>
      </c>
      <c r="H755" s="31" t="str">
        <f t="shared" si="99"/>
        <v>REGIONTYPE1_NO_REGION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1</v>
      </c>
      <c r="N755" t="b">
        <f t="shared" si="103"/>
        <v>1</v>
      </c>
      <c r="O755" t="b">
        <f t="shared" si="104"/>
        <v>0</v>
      </c>
      <c r="P755" t="b">
        <f t="shared" si="105"/>
        <v>0</v>
      </c>
      <c r="Q755" t="b">
        <f t="shared" si="10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99"/>
        <v>ASIA_NO_REGION</v>
      </c>
      <c r="I756" t="b">
        <f t="shared" si="100"/>
        <v>0</v>
      </c>
      <c r="J756" t="b">
        <f t="shared" si="107"/>
        <v>1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3"/>
        <v>0</v>
      </c>
      <c r="O756" t="b">
        <f t="shared" si="104"/>
        <v>0</v>
      </c>
      <c r="P756" t="b">
        <f t="shared" si="105"/>
        <v>0</v>
      </c>
      <c r="Q756" t="b">
        <f t="shared" si="10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99"/>
        <v>ASIA_NO_REGION</v>
      </c>
      <c r="I757" t="b">
        <f t="shared" si="100"/>
        <v>0</v>
      </c>
      <c r="J757" t="b">
        <f t="shared" si="107"/>
        <v>1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3"/>
        <v>0</v>
      </c>
      <c r="O757" t="b">
        <f t="shared" si="104"/>
        <v>0</v>
      </c>
      <c r="P757" t="b">
        <f t="shared" si="105"/>
        <v>0</v>
      </c>
      <c r="Q757" t="b">
        <f t="shared" si="10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99"/>
        <v>ASIA_NO_REGION</v>
      </c>
      <c r="I758" t="b">
        <f t="shared" si="100"/>
        <v>0</v>
      </c>
      <c r="J758" t="b">
        <f t="shared" si="107"/>
        <v>1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3"/>
        <v>0</v>
      </c>
      <c r="O758" t="b">
        <f t="shared" si="104"/>
        <v>0</v>
      </c>
      <c r="P758" t="b">
        <f t="shared" si="105"/>
        <v>0</v>
      </c>
      <c r="Q758" t="b">
        <f t="shared" si="10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99"/>
        <v>ASIA_NO_REGION</v>
      </c>
      <c r="I759" t="b">
        <f t="shared" si="100"/>
        <v>0</v>
      </c>
      <c r="J759" t="b">
        <f t="shared" si="107"/>
        <v>1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3"/>
        <v>0</v>
      </c>
      <c r="O759" t="b">
        <f t="shared" si="104"/>
        <v>0</v>
      </c>
      <c r="P759" t="b">
        <f t="shared" si="105"/>
        <v>0</v>
      </c>
      <c r="Q759" t="b">
        <f t="shared" si="10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REGIONTYPE1</v>
      </c>
      <c r="G760" s="31" t="str">
        <f>_xlfn.XLOOKUP($A760,PROPERTIES[VEHIDCODE],PROPERTIES[REGION2])</f>
        <v>NO_REGION</v>
      </c>
      <c r="H760" s="31" t="str">
        <f t="shared" si="99"/>
        <v>REGIONTYPE1_NO_REGION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1</v>
      </c>
      <c r="N760" t="b">
        <f t="shared" si="103"/>
        <v>1</v>
      </c>
      <c r="O760" t="b">
        <f t="shared" si="104"/>
        <v>0</v>
      </c>
      <c r="P760" t="b">
        <f t="shared" si="105"/>
        <v>0</v>
      </c>
      <c r="Q760" t="b">
        <f t="shared" si="10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REGIONTYPE1</v>
      </c>
      <c r="G761" s="31" t="str">
        <f>_xlfn.XLOOKUP($A761,PROPERTIES[VEHIDCODE],PROPERTIES[REGION2])</f>
        <v>NO_REGION</v>
      </c>
      <c r="H761" s="31" t="str">
        <f t="shared" si="99"/>
        <v>REGIONTYPE1_NO_REGION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1</v>
      </c>
      <c r="N761" t="b">
        <f t="shared" si="103"/>
        <v>1</v>
      </c>
      <c r="O761" t="b">
        <f t="shared" si="104"/>
        <v>0</v>
      </c>
      <c r="P761" t="b">
        <f t="shared" si="105"/>
        <v>0</v>
      </c>
      <c r="Q761" t="b">
        <f t="shared" si="10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REGIONTYPE1</v>
      </c>
      <c r="G762" s="31" t="str">
        <f>_xlfn.XLOOKUP($A762,PROPERTIES[VEHIDCODE],PROPERTIES[REGION2])</f>
        <v>NO_REGION</v>
      </c>
      <c r="H762" s="31" t="str">
        <f t="shared" si="99"/>
        <v>REGIONTYPE1_NO_REGION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1</v>
      </c>
      <c r="N762" t="b">
        <f t="shared" si="103"/>
        <v>1</v>
      </c>
      <c r="O762" t="b">
        <f t="shared" si="104"/>
        <v>0</v>
      </c>
      <c r="P762" t="b">
        <f t="shared" si="105"/>
        <v>0</v>
      </c>
      <c r="Q762" t="b">
        <f t="shared" si="10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REGIONTYPE1</v>
      </c>
      <c r="G763" s="31" t="str">
        <f>_xlfn.XLOOKUP($A763,PROPERTIES[VEHIDCODE],PROPERTIES[REGION2])</f>
        <v>NO_REGION</v>
      </c>
      <c r="H763" s="31" t="str">
        <f t="shared" si="99"/>
        <v>REGIONTYPE1_NO_REGION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1</v>
      </c>
      <c r="N763" t="b">
        <f t="shared" si="103"/>
        <v>1</v>
      </c>
      <c r="O763" t="b">
        <f t="shared" si="104"/>
        <v>0</v>
      </c>
      <c r="P763" t="b">
        <f t="shared" si="105"/>
        <v>0</v>
      </c>
      <c r="Q763" t="b">
        <f t="shared" si="10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99"/>
        <v>ALL_EUROPE_ASIA</v>
      </c>
      <c r="I764" t="b">
        <f t="shared" si="100"/>
        <v>0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1</v>
      </c>
      <c r="N764" t="b">
        <f t="shared" si="103"/>
        <v>1</v>
      </c>
      <c r="O764" t="b">
        <f t="shared" si="104"/>
        <v>0</v>
      </c>
      <c r="P764" t="b">
        <f t="shared" si="105"/>
        <v>0</v>
      </c>
      <c r="Q764" t="b">
        <f t="shared" si="10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99"/>
        <v>ALL_EUROPE_ASIA</v>
      </c>
      <c r="I765" t="b">
        <f t="shared" si="100"/>
        <v>0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1</v>
      </c>
      <c r="N765" t="b">
        <f t="shared" si="103"/>
        <v>1</v>
      </c>
      <c r="O765" t="b">
        <f t="shared" si="104"/>
        <v>0</v>
      </c>
      <c r="P765" t="b">
        <f t="shared" si="105"/>
        <v>0</v>
      </c>
      <c r="Q765" t="b">
        <f t="shared" si="10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99"/>
        <v>ALL_EUROPE_ASIA</v>
      </c>
      <c r="I766" t="b">
        <f t="shared" si="100"/>
        <v>0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1</v>
      </c>
      <c r="N766" t="b">
        <f t="shared" si="103"/>
        <v>1</v>
      </c>
      <c r="O766" t="b">
        <f t="shared" si="104"/>
        <v>0</v>
      </c>
      <c r="P766" t="b">
        <f t="shared" si="105"/>
        <v>0</v>
      </c>
      <c r="Q766" t="b">
        <f t="shared" si="10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99"/>
        <v>ALL_EUROPE_ASIA</v>
      </c>
      <c r="I767" t="b">
        <f t="shared" si="100"/>
        <v>0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1</v>
      </c>
      <c r="N767" t="b">
        <f t="shared" si="103"/>
        <v>1</v>
      </c>
      <c r="O767" t="b">
        <f t="shared" si="104"/>
        <v>0</v>
      </c>
      <c r="P767" t="b">
        <f t="shared" si="105"/>
        <v>0</v>
      </c>
      <c r="Q767" t="b">
        <f t="shared" si="10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99"/>
        <v>ALL_AMERICA_OCEANIA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0</v>
      </c>
      <c r="N768" t="b">
        <f t="shared" si="103"/>
        <v>0</v>
      </c>
      <c r="O768" t="b">
        <f t="shared" si="104"/>
        <v>1</v>
      </c>
      <c r="P768" t="b">
        <f t="shared" si="105"/>
        <v>1</v>
      </c>
      <c r="Q768" t="b">
        <f t="shared" si="10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99"/>
        <v>ALL_AMERICA_OCEANIA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0</v>
      </c>
      <c r="N769" t="b">
        <f t="shared" si="103"/>
        <v>0</v>
      </c>
      <c r="O769" t="b">
        <f t="shared" si="104"/>
        <v>1</v>
      </c>
      <c r="P769" t="b">
        <f t="shared" si="105"/>
        <v>1</v>
      </c>
      <c r="Q769" t="b">
        <f t="shared" si="10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99"/>
        <v>ALL_AMERICA_OCEANIA</v>
      </c>
      <c r="I770" t="b">
        <f t="shared" si="100"/>
        <v>0</v>
      </c>
      <c r="J770" t="b">
        <f t="shared" si="107"/>
        <v>0</v>
      </c>
      <c r="K770" t="b">
        <f t="shared" si="101"/>
        <v>0</v>
      </c>
      <c r="L770" t="b">
        <f t="shared" si="102"/>
        <v>0</v>
      </c>
      <c r="M770" t="b">
        <f t="shared" si="103"/>
        <v>0</v>
      </c>
      <c r="N770" t="b">
        <f t="shared" si="103"/>
        <v>0</v>
      </c>
      <c r="O770" t="b">
        <f t="shared" si="104"/>
        <v>1</v>
      </c>
      <c r="P770" t="b">
        <f t="shared" si="105"/>
        <v>1</v>
      </c>
      <c r="Q770" t="b">
        <f t="shared" si="106"/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08">_xlfn.CONCAT($F771,"_",$G771)</f>
        <v>ALL_AMERICA_OCEANIA</v>
      </c>
      <c r="I771" t="b">
        <f t="shared" ref="I771:I851" si="109">OR(ISNUMBER(SEARCH("ALL_REGION",$H771)),
ISNUMBER(SEARCH("AFRICA",$H771)),
ISNUMBER(SEARCH("REGIONTYPE1",$H771)),
ISNUMBER(SEARCH("REGIONTYPE2",$H771)))</f>
        <v>0</v>
      </c>
      <c r="J771" t="b">
        <f t="shared" si="107"/>
        <v>0</v>
      </c>
      <c r="K771" t="b">
        <f t="shared" ref="K771:K834" si="110">OR(ISNUMBER(SEARCH("ALL_REGION",$H771)),
ISNUMBER(SEARCH("ALL_EUROPE",$H771)),
ISNUMBER(SEARCH(K$1,$H771)),
ISNUMBER(SEARCH("REGIONTYPE1",$H771)))</f>
        <v>0</v>
      </c>
      <c r="L771" t="b">
        <f t="shared" ref="L771:L834" si="111">OR(ISNUMBER(SEARCH("ALL_REGION",$H771)),
ISNUMBER(SEARCH("ALL_EUROPE",$H771)),
ISNUMBER(SEARCH(L$1,$H771)),
ISNUMBER(SEARCH("REGIONTYPE1",$H771)),
ISNUMBER(SEARCH("REGIONTYPE4",$H771)),
ISNUMBER(SEARCH("REGIONTYPE5",$H771)))</f>
        <v>0</v>
      </c>
      <c r="M771" t="b">
        <f t="shared" ref="M771:N834" si="112">OR(ISNUMBER(SEARCH("ALL_REGION",$H771)),
ISNUMBER(SEARCH("ALL_EUROPE",$H771)),
ISNUMBER(SEARCH(M$1,$H771)),
ISNUMBER(SEARCH("REGIONTYPE1",$H771)),
ISNUMBER(SEARCH("REGIONTYPE6",$H771)))</f>
        <v>0</v>
      </c>
      <c r="N771" t="b">
        <f t="shared" si="112"/>
        <v>0</v>
      </c>
      <c r="O771" t="b">
        <f t="shared" ref="O771:O834" si="113">OR(ISNUMBER(SEARCH("ALL_REGION",$H771)),
ISNUMBER(SEARCH("ALL_AMERICA",$H771)),
ISNUMBER(SEARCH(O$1,$H771)),
ISNUMBER(SEARCH("REGIONTYPE2",$H771)))</f>
        <v>1</v>
      </c>
      <c r="P771" t="b">
        <f t="shared" ref="P771:P834" si="114">OR(ISNUMBER(SEARCH("ALL_REGION",$H771)),
ISNUMBER(SEARCH("ALL_AMERICA",$H771)),
ISNUMBER(SEARCH(P$1,$H771)),
ISNUMBER(SEARCH("REGIONTYPE2",$H771)),
ISNUMBER(SEARCH("REGIONTYPE5",$H771)))</f>
        <v>1</v>
      </c>
      <c r="Q771" t="b">
        <f t="shared" ref="Q771:Q834" si="115">OR(ISNUMBER(SEARCH("ALL_REGION",$H771)),
ISNUMBER(SEARCH(Q$1,$H771)),
ISNUMBER(SEARCH("REGIONTYPE3",$H771)))</f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08"/>
        <v>ALL_AMERICA_OCEANIA</v>
      </c>
      <c r="I772" t="b">
        <f t="shared" si="109"/>
        <v>0</v>
      </c>
      <c r="J772" t="b">
        <f t="shared" ref="J772:J835" si="116">OR(ISNUMBER(SEARCH("ALL_REGION",$H772)),
ISNUMBER(SEARCH("ASIA",$H772)),
ISNUMBER(SEARCH("REGIONTYPE1",$H772)),
ISNUMBER(SEARCH("REGIONTYPE2",$H772)),
ISNUMBER(SEARCH("REGIONTYPE3",$H772)),
ISNUMBER(SEARCH("REGIONTYPE4",$H772)))</f>
        <v>0</v>
      </c>
      <c r="K772" t="b">
        <f t="shared" si="110"/>
        <v>0</v>
      </c>
      <c r="L772" t="b">
        <f t="shared" si="111"/>
        <v>0</v>
      </c>
      <c r="M772" t="b">
        <f t="shared" si="112"/>
        <v>0</v>
      </c>
      <c r="N772" t="b">
        <f t="shared" si="112"/>
        <v>0</v>
      </c>
      <c r="O772" t="b">
        <f t="shared" si="113"/>
        <v>1</v>
      </c>
      <c r="P772" t="b">
        <f t="shared" si="114"/>
        <v>1</v>
      </c>
      <c r="Q772" t="b">
        <f t="shared" si="115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08"/>
        <v>ALL_AMERICA_OCEANIA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0</v>
      </c>
      <c r="N773" t="b">
        <f t="shared" si="112"/>
        <v>0</v>
      </c>
      <c r="O773" t="b">
        <f t="shared" si="113"/>
        <v>1</v>
      </c>
      <c r="P773" t="b">
        <f t="shared" si="114"/>
        <v>1</v>
      </c>
      <c r="Q773" t="b">
        <f t="shared" si="115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08"/>
        <v>ALL_AMERICA_OCEANIA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0</v>
      </c>
      <c r="N774" t="b">
        <f t="shared" si="112"/>
        <v>0</v>
      </c>
      <c r="O774" t="b">
        <f t="shared" si="113"/>
        <v>1</v>
      </c>
      <c r="P774" t="b">
        <f t="shared" si="114"/>
        <v>1</v>
      </c>
      <c r="Q774" t="b">
        <f t="shared" si="115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08"/>
        <v>ALL_AMERICA_OCEANIA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0</v>
      </c>
      <c r="N775" t="b">
        <f t="shared" si="112"/>
        <v>0</v>
      </c>
      <c r="O775" t="b">
        <f t="shared" si="113"/>
        <v>1</v>
      </c>
      <c r="P775" t="b">
        <f t="shared" si="114"/>
        <v>1</v>
      </c>
      <c r="Q775" t="b">
        <f t="shared" si="115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08"/>
        <v>ALL_REGION_NO_REGION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2"/>
        <v>1</v>
      </c>
      <c r="O776" t="b">
        <f t="shared" si="113"/>
        <v>1</v>
      </c>
      <c r="P776" t="b">
        <f t="shared" si="114"/>
        <v>1</v>
      </c>
      <c r="Q776" t="b">
        <f t="shared" si="115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08"/>
        <v>ALL_REGION_NO_REGION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2"/>
        <v>1</v>
      </c>
      <c r="O777" t="b">
        <f t="shared" si="113"/>
        <v>1</v>
      </c>
      <c r="P777" t="b">
        <f t="shared" si="114"/>
        <v>1</v>
      </c>
      <c r="Q777" t="b">
        <f t="shared" si="115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08"/>
        <v>ALL_REGION_NO_REGION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2"/>
        <v>1</v>
      </c>
      <c r="O778" t="b">
        <f t="shared" si="113"/>
        <v>1</v>
      </c>
      <c r="P778" t="b">
        <f t="shared" si="114"/>
        <v>1</v>
      </c>
      <c r="Q778" t="b">
        <f t="shared" si="115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08"/>
        <v>ALL_REGION_NO_REGION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2"/>
        <v>1</v>
      </c>
      <c r="O779" t="b">
        <f t="shared" si="113"/>
        <v>1</v>
      </c>
      <c r="P779" t="b">
        <f t="shared" si="114"/>
        <v>1</v>
      </c>
      <c r="Q779" t="b">
        <f t="shared" si="115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08"/>
        <v>ALL_REGION_NO_REGION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2"/>
        <v>1</v>
      </c>
      <c r="O780" t="b">
        <f t="shared" si="113"/>
        <v>1</v>
      </c>
      <c r="P780" t="b">
        <f t="shared" si="114"/>
        <v>1</v>
      </c>
      <c r="Q780" t="b">
        <f t="shared" si="115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08"/>
        <v>ALL_REGION_NO_REGION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2"/>
        <v>1</v>
      </c>
      <c r="O781" t="b">
        <f t="shared" si="113"/>
        <v>1</v>
      </c>
      <c r="P781" t="b">
        <f t="shared" si="114"/>
        <v>1</v>
      </c>
      <c r="Q781" t="b">
        <f t="shared" si="115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08"/>
        <v>ALL_REGION_NO_REGION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2"/>
        <v>1</v>
      </c>
      <c r="O782" t="b">
        <f t="shared" si="113"/>
        <v>1</v>
      </c>
      <c r="P782" t="b">
        <f t="shared" si="114"/>
        <v>1</v>
      </c>
      <c r="Q782" t="b">
        <f t="shared" si="115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08"/>
        <v>ALL_REGION_NO_REGION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2"/>
        <v>1</v>
      </c>
      <c r="O783" t="b">
        <f t="shared" si="113"/>
        <v>1</v>
      </c>
      <c r="P783" t="b">
        <f t="shared" si="114"/>
        <v>1</v>
      </c>
      <c r="Q783" t="b">
        <f t="shared" si="115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08"/>
        <v>ALL_REGION_NO_REGION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2"/>
        <v>1</v>
      </c>
      <c r="O784" t="b">
        <f t="shared" si="113"/>
        <v>1</v>
      </c>
      <c r="P784" t="b">
        <f t="shared" si="114"/>
        <v>1</v>
      </c>
      <c r="Q784" t="b">
        <f t="shared" si="115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08"/>
        <v>ALL_REGION_NO_REGION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2"/>
        <v>1</v>
      </c>
      <c r="O785" t="b">
        <f t="shared" si="113"/>
        <v>1</v>
      </c>
      <c r="P785" t="b">
        <f t="shared" si="114"/>
        <v>1</v>
      </c>
      <c r="Q785" t="b">
        <f t="shared" si="115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08"/>
        <v>ALL_REGION_NO_REGION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2"/>
        <v>1</v>
      </c>
      <c r="O786" t="b">
        <f t="shared" si="113"/>
        <v>1</v>
      </c>
      <c r="P786" t="b">
        <f t="shared" si="114"/>
        <v>1</v>
      </c>
      <c r="Q786" t="b">
        <f t="shared" si="115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08"/>
        <v>ALL_REGION_NO_REGION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2"/>
        <v>1</v>
      </c>
      <c r="O787" t="b">
        <f t="shared" si="113"/>
        <v>1</v>
      </c>
      <c r="P787" t="b">
        <f t="shared" si="114"/>
        <v>1</v>
      </c>
      <c r="Q787" t="b">
        <f t="shared" si="115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08"/>
        <v>ALL_REGION_NO_REGION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2"/>
        <v>1</v>
      </c>
      <c r="O788" t="b">
        <f t="shared" si="113"/>
        <v>1</v>
      </c>
      <c r="P788" t="b">
        <f t="shared" si="114"/>
        <v>1</v>
      </c>
      <c r="Q788" t="b">
        <f t="shared" si="115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08"/>
        <v>ALL_REGION_NO_REGION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2"/>
        <v>1</v>
      </c>
      <c r="O789" t="b">
        <f t="shared" si="113"/>
        <v>1</v>
      </c>
      <c r="P789" t="b">
        <f t="shared" si="114"/>
        <v>1</v>
      </c>
      <c r="Q789" t="b">
        <f t="shared" si="115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08"/>
        <v>AFRICA_NO_REGION</v>
      </c>
      <c r="I790" t="b">
        <f t="shared" si="109"/>
        <v>1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2"/>
        <v>0</v>
      </c>
      <c r="O790" t="b">
        <f t="shared" si="113"/>
        <v>0</v>
      </c>
      <c r="P790" t="b">
        <f t="shared" si="114"/>
        <v>0</v>
      </c>
      <c r="Q790" t="b">
        <f t="shared" si="115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08"/>
        <v>AFRICA_NO_REGION</v>
      </c>
      <c r="I791" t="b">
        <f t="shared" si="109"/>
        <v>1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2"/>
        <v>0</v>
      </c>
      <c r="O791" t="b">
        <f t="shared" si="113"/>
        <v>0</v>
      </c>
      <c r="P791" t="b">
        <f t="shared" si="114"/>
        <v>0</v>
      </c>
      <c r="Q791" t="b">
        <f t="shared" si="115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08"/>
        <v>ASIA_NO_REGION</v>
      </c>
      <c r="I792" t="b">
        <f t="shared" si="109"/>
        <v>0</v>
      </c>
      <c r="J792" t="b">
        <f t="shared" si="116"/>
        <v>1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2"/>
        <v>0</v>
      </c>
      <c r="O792" t="b">
        <f t="shared" si="113"/>
        <v>0</v>
      </c>
      <c r="P792" t="b">
        <f t="shared" si="114"/>
        <v>0</v>
      </c>
      <c r="Q792" t="b">
        <f t="shared" si="115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REGIONTYPE6</v>
      </c>
      <c r="G793" s="31" t="str">
        <f>_xlfn.XLOOKUP($A793,PROPERTIES[VEHIDCODE],PROPERTIES[REGION2])</f>
        <v>NO_REGION</v>
      </c>
      <c r="H793" s="31" t="str">
        <f t="shared" si="108"/>
        <v>REGIONTYPE6_NO_REGION</v>
      </c>
      <c r="I793" t="b">
        <f t="shared" si="109"/>
        <v>0</v>
      </c>
      <c r="J793" t="b">
        <f t="shared" si="116"/>
        <v>0</v>
      </c>
      <c r="K793" t="b">
        <f t="shared" si="110"/>
        <v>0</v>
      </c>
      <c r="L793" t="b">
        <f t="shared" si="111"/>
        <v>0</v>
      </c>
      <c r="M793" t="b">
        <f t="shared" si="112"/>
        <v>1</v>
      </c>
      <c r="N793" t="b">
        <f t="shared" si="112"/>
        <v>1</v>
      </c>
      <c r="O793" t="b">
        <f t="shared" si="113"/>
        <v>0</v>
      </c>
      <c r="P793" t="b">
        <f t="shared" si="114"/>
        <v>0</v>
      </c>
      <c r="Q793" t="b">
        <f t="shared" si="115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08"/>
        <v>WESTERN_EUROPE_NO_REGION</v>
      </c>
      <c r="I794" t="b">
        <f t="shared" si="109"/>
        <v>0</v>
      </c>
      <c r="J794" t="b">
        <f t="shared" si="116"/>
        <v>0</v>
      </c>
      <c r="K794" t="b">
        <f t="shared" si="110"/>
        <v>0</v>
      </c>
      <c r="L794" t="b">
        <f t="shared" si="111"/>
        <v>0</v>
      </c>
      <c r="M794" t="b">
        <f t="shared" si="112"/>
        <v>1</v>
      </c>
      <c r="N794" t="b">
        <f t="shared" si="112"/>
        <v>0</v>
      </c>
      <c r="O794" t="b">
        <f t="shared" si="113"/>
        <v>0</v>
      </c>
      <c r="P794" t="b">
        <f t="shared" si="114"/>
        <v>0</v>
      </c>
      <c r="Q794" t="b">
        <f t="shared" si="115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08"/>
        <v>AFRICA_NO_REGION</v>
      </c>
      <c r="I795" t="b">
        <f t="shared" si="109"/>
        <v>1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2"/>
        <v>0</v>
      </c>
      <c r="O795" t="b">
        <f t="shared" si="113"/>
        <v>0</v>
      </c>
      <c r="P795" t="b">
        <f t="shared" si="114"/>
        <v>0</v>
      </c>
      <c r="Q795" t="b">
        <f t="shared" si="115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08"/>
        <v>AFRICA_NO_REGION</v>
      </c>
      <c r="I796" t="b">
        <f t="shared" si="109"/>
        <v>1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2"/>
        <v>0</v>
      </c>
      <c r="O796" t="b">
        <f t="shared" si="113"/>
        <v>0</v>
      </c>
      <c r="P796" t="b">
        <f t="shared" si="114"/>
        <v>0</v>
      </c>
      <c r="Q796" t="b">
        <f t="shared" si="115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08"/>
        <v>AFRICA_NO_REGION</v>
      </c>
      <c r="I797" t="b">
        <f t="shared" si="109"/>
        <v>1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2"/>
        <v>0</v>
      </c>
      <c r="O797" t="b">
        <f t="shared" si="113"/>
        <v>0</v>
      </c>
      <c r="P797" t="b">
        <f t="shared" si="114"/>
        <v>0</v>
      </c>
      <c r="Q797" t="b">
        <f t="shared" si="115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08"/>
        <v>AFRICA_NO_REGION</v>
      </c>
      <c r="I798" t="b">
        <f t="shared" si="109"/>
        <v>1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2"/>
        <v>0</v>
      </c>
      <c r="O798" t="b">
        <f t="shared" si="113"/>
        <v>0</v>
      </c>
      <c r="P798" t="b">
        <f t="shared" si="114"/>
        <v>0</v>
      </c>
      <c r="Q798" t="b">
        <f t="shared" si="115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08"/>
        <v>AFRICA_NO_REGION</v>
      </c>
      <c r="I799" t="b">
        <f t="shared" si="109"/>
        <v>1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2"/>
        <v>0</v>
      </c>
      <c r="O799" t="b">
        <f t="shared" si="113"/>
        <v>0</v>
      </c>
      <c r="P799" t="b">
        <f t="shared" si="114"/>
        <v>0</v>
      </c>
      <c r="Q799" t="b">
        <f t="shared" si="115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08"/>
        <v>AFRICA_NO_REGION</v>
      </c>
      <c r="I800" t="b">
        <f t="shared" si="109"/>
        <v>1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2"/>
        <v>0</v>
      </c>
      <c r="O800" t="b">
        <f t="shared" si="113"/>
        <v>0</v>
      </c>
      <c r="P800" t="b">
        <f t="shared" si="114"/>
        <v>0</v>
      </c>
      <c r="Q800" t="b">
        <f t="shared" si="115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08"/>
        <v>AFRICA_NO_REGION</v>
      </c>
      <c r="I801" t="b">
        <f t="shared" si="109"/>
        <v>1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2"/>
        <v>0</v>
      </c>
      <c r="O801" t="b">
        <f t="shared" si="113"/>
        <v>0</v>
      </c>
      <c r="P801" t="b">
        <f t="shared" si="114"/>
        <v>0</v>
      </c>
      <c r="Q801" t="b">
        <f t="shared" si="115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08"/>
        <v>AFRICA_NO_REGION</v>
      </c>
      <c r="I802" t="b">
        <f t="shared" si="109"/>
        <v>1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2"/>
        <v>0</v>
      </c>
      <c r="O802" t="b">
        <f t="shared" si="113"/>
        <v>0</v>
      </c>
      <c r="P802" t="b">
        <f t="shared" si="114"/>
        <v>0</v>
      </c>
      <c r="Q802" t="b">
        <f t="shared" si="115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08"/>
        <v>AFRICA_NO_REGION</v>
      </c>
      <c r="I803" t="b">
        <f t="shared" si="109"/>
        <v>1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2"/>
        <v>0</v>
      </c>
      <c r="O803" t="b">
        <f t="shared" si="113"/>
        <v>0</v>
      </c>
      <c r="P803" t="b">
        <f t="shared" si="114"/>
        <v>0</v>
      </c>
      <c r="Q803" t="b">
        <f t="shared" si="115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08"/>
        <v>NORTH_AMERICA_NO_REGION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0</v>
      </c>
      <c r="N804" t="b">
        <f t="shared" si="112"/>
        <v>0</v>
      </c>
      <c r="O804" t="b">
        <f t="shared" si="113"/>
        <v>1</v>
      </c>
      <c r="P804" t="b">
        <f t="shared" si="114"/>
        <v>0</v>
      </c>
      <c r="Q804" t="b">
        <f t="shared" si="115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08"/>
        <v>ALL_REGION_NO_REGION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2"/>
        <v>1</v>
      </c>
      <c r="O805" t="b">
        <f t="shared" si="113"/>
        <v>1</v>
      </c>
      <c r="P805" t="b">
        <f t="shared" si="114"/>
        <v>1</v>
      </c>
      <c r="Q805" t="b">
        <f t="shared" si="115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08"/>
        <v>ALL_REGION_NO_REGION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2"/>
        <v>1</v>
      </c>
      <c r="O806" t="b">
        <f t="shared" si="113"/>
        <v>1</v>
      </c>
      <c r="P806" t="b">
        <f t="shared" si="114"/>
        <v>1</v>
      </c>
      <c r="Q806" t="b">
        <f t="shared" si="115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08"/>
        <v>ALL_REGION_NO_REGION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2"/>
        <v>1</v>
      </c>
      <c r="O807" t="b">
        <f t="shared" si="113"/>
        <v>1</v>
      </c>
      <c r="P807" t="b">
        <f t="shared" si="114"/>
        <v>1</v>
      </c>
      <c r="Q807" t="b">
        <f t="shared" si="115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08"/>
        <v>ALL_REGION_NO_REGION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2"/>
        <v>1</v>
      </c>
      <c r="O808" t="b">
        <f t="shared" si="113"/>
        <v>1</v>
      </c>
      <c r="P808" t="b">
        <f t="shared" si="114"/>
        <v>1</v>
      </c>
      <c r="Q808" t="b">
        <f t="shared" si="115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08"/>
        <v>ALL_REGION_NO_REGION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2"/>
        <v>1</v>
      </c>
      <c r="O809" t="b">
        <f t="shared" si="113"/>
        <v>1</v>
      </c>
      <c r="P809" t="b">
        <f t="shared" si="114"/>
        <v>1</v>
      </c>
      <c r="Q809" t="b">
        <f t="shared" si="115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08"/>
        <v>ALL_REGION_NO_REGION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2"/>
        <v>1</v>
      </c>
      <c r="O810" t="b">
        <f t="shared" si="113"/>
        <v>1</v>
      </c>
      <c r="P810" t="b">
        <f t="shared" si="114"/>
        <v>1</v>
      </c>
      <c r="Q810" t="b">
        <f t="shared" si="115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08"/>
        <v>ALL_REGION_NO_REGION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2"/>
        <v>1</v>
      </c>
      <c r="O811" t="b">
        <f t="shared" si="113"/>
        <v>1</v>
      </c>
      <c r="P811" t="b">
        <f t="shared" si="114"/>
        <v>1</v>
      </c>
      <c r="Q811" t="b">
        <f t="shared" si="115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08"/>
        <v>ALL_REGION_NO_REGION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2"/>
        <v>1</v>
      </c>
      <c r="O812" t="b">
        <f t="shared" si="113"/>
        <v>1</v>
      </c>
      <c r="P812" t="b">
        <f t="shared" si="114"/>
        <v>1</v>
      </c>
      <c r="Q812" t="b">
        <f t="shared" si="115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08"/>
        <v>ALL_REGION_NO_REGION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2"/>
        <v>1</v>
      </c>
      <c r="O813" t="b">
        <f t="shared" si="113"/>
        <v>1</v>
      </c>
      <c r="P813" t="b">
        <f t="shared" si="114"/>
        <v>1</v>
      </c>
      <c r="Q813" t="b">
        <f t="shared" si="115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08"/>
        <v>EASTERN_EUROPE_NO_REGION</v>
      </c>
      <c r="I814" t="b">
        <f t="shared" si="109"/>
        <v>0</v>
      </c>
      <c r="J814" t="b">
        <f t="shared" si="116"/>
        <v>0</v>
      </c>
      <c r="K814" t="b">
        <f t="shared" si="110"/>
        <v>0</v>
      </c>
      <c r="L814" t="b">
        <f t="shared" si="111"/>
        <v>1</v>
      </c>
      <c r="M814" t="b">
        <f t="shared" si="112"/>
        <v>0</v>
      </c>
      <c r="N814" t="b">
        <f t="shared" si="112"/>
        <v>0</v>
      </c>
      <c r="O814" t="b">
        <f t="shared" si="113"/>
        <v>0</v>
      </c>
      <c r="P814" t="b">
        <f t="shared" si="114"/>
        <v>0</v>
      </c>
      <c r="Q814" t="b">
        <f t="shared" si="115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08"/>
        <v>NORTHERN_EUROPE_NO_REGION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0</v>
      </c>
      <c r="M815" t="b">
        <f t="shared" si="112"/>
        <v>0</v>
      </c>
      <c r="N815" t="b">
        <f t="shared" si="112"/>
        <v>1</v>
      </c>
      <c r="O815" t="b">
        <f t="shared" si="113"/>
        <v>0</v>
      </c>
      <c r="P815" t="b">
        <f t="shared" si="114"/>
        <v>0</v>
      </c>
      <c r="Q815" t="b">
        <f t="shared" si="115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08"/>
        <v>NORTHERN_EUROPE_NO_REGION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0</v>
      </c>
      <c r="M816" t="b">
        <f t="shared" si="112"/>
        <v>0</v>
      </c>
      <c r="N816" t="b">
        <f t="shared" si="112"/>
        <v>1</v>
      </c>
      <c r="O816" t="b">
        <f t="shared" si="113"/>
        <v>0</v>
      </c>
      <c r="P816" t="b">
        <f t="shared" si="114"/>
        <v>0</v>
      </c>
      <c r="Q816" t="b">
        <f t="shared" si="115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08"/>
        <v>NORTHERN_EUROPE_NO_REGION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0</v>
      </c>
      <c r="M817" t="b">
        <f t="shared" si="112"/>
        <v>0</v>
      </c>
      <c r="N817" t="b">
        <f t="shared" si="112"/>
        <v>1</v>
      </c>
      <c r="O817" t="b">
        <f t="shared" si="113"/>
        <v>0</v>
      </c>
      <c r="P817" t="b">
        <f t="shared" si="114"/>
        <v>0</v>
      </c>
      <c r="Q817" t="b">
        <f t="shared" si="115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08"/>
        <v>NORTHERN_EUROPE_NO_REGION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0</v>
      </c>
      <c r="M818" t="b">
        <f t="shared" si="112"/>
        <v>0</v>
      </c>
      <c r="N818" t="b">
        <f t="shared" si="112"/>
        <v>1</v>
      </c>
      <c r="O818" t="b">
        <f t="shared" si="113"/>
        <v>0</v>
      </c>
      <c r="P818" t="b">
        <f t="shared" si="114"/>
        <v>0</v>
      </c>
      <c r="Q818" t="b">
        <f t="shared" si="115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08"/>
        <v>ASIA_NO_REGION</v>
      </c>
      <c r="I819" t="b">
        <f t="shared" si="109"/>
        <v>0</v>
      </c>
      <c r="J819" t="b">
        <f t="shared" si="116"/>
        <v>1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2"/>
        <v>0</v>
      </c>
      <c r="O819" t="b">
        <f t="shared" si="113"/>
        <v>0</v>
      </c>
      <c r="P819" t="b">
        <f t="shared" si="114"/>
        <v>0</v>
      </c>
      <c r="Q819" t="b">
        <f t="shared" si="115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08"/>
        <v>ASIA_NO_REGION</v>
      </c>
      <c r="I820" t="b">
        <f t="shared" si="109"/>
        <v>0</v>
      </c>
      <c r="J820" t="b">
        <f t="shared" si="116"/>
        <v>1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2"/>
        <v>0</v>
      </c>
      <c r="O820" t="b">
        <f t="shared" si="113"/>
        <v>0</v>
      </c>
      <c r="P820" t="b">
        <f t="shared" si="114"/>
        <v>0</v>
      </c>
      <c r="Q820" t="b">
        <f t="shared" si="115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08"/>
        <v>OCEANIA_NO_REGION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2"/>
        <v>0</v>
      </c>
      <c r="O821" t="b">
        <f t="shared" si="113"/>
        <v>0</v>
      </c>
      <c r="P821" t="b">
        <f t="shared" si="114"/>
        <v>0</v>
      </c>
      <c r="Q821" t="b">
        <f t="shared" si="115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08"/>
        <v>OCEANIA_NO_REGION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2"/>
        <v>0</v>
      </c>
      <c r="O822" t="b">
        <f t="shared" si="113"/>
        <v>0</v>
      </c>
      <c r="P822" t="b">
        <f t="shared" si="114"/>
        <v>0</v>
      </c>
      <c r="Q822" t="b">
        <f t="shared" si="115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08"/>
        <v>OCEANIA_NO_REGION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2"/>
        <v>0</v>
      </c>
      <c r="O823" t="b">
        <f t="shared" si="113"/>
        <v>0</v>
      </c>
      <c r="P823" t="b">
        <f t="shared" si="114"/>
        <v>0</v>
      </c>
      <c r="Q823" t="b">
        <f t="shared" si="115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REGIONTYPE4</v>
      </c>
      <c r="H824" s="31" t="str">
        <f t="shared" si="108"/>
        <v>WESTERN_EUROPE_REGIONTYPE4</v>
      </c>
      <c r="I824" t="b">
        <f t="shared" si="109"/>
        <v>0</v>
      </c>
      <c r="J824" t="b">
        <f t="shared" si="116"/>
        <v>1</v>
      </c>
      <c r="K824" t="b">
        <f t="shared" si="110"/>
        <v>0</v>
      </c>
      <c r="L824" t="b">
        <f t="shared" si="111"/>
        <v>1</v>
      </c>
      <c r="M824" t="b">
        <f t="shared" si="112"/>
        <v>1</v>
      </c>
      <c r="N824" t="b">
        <f t="shared" si="112"/>
        <v>0</v>
      </c>
      <c r="O824" t="b">
        <f t="shared" si="113"/>
        <v>0</v>
      </c>
      <c r="P824" t="b">
        <f t="shared" si="114"/>
        <v>0</v>
      </c>
      <c r="Q824" t="b">
        <f t="shared" si="115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08"/>
        <v>NORTH_AMERICA_NO_REGION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0</v>
      </c>
      <c r="N825" t="b">
        <f t="shared" si="112"/>
        <v>0</v>
      </c>
      <c r="O825" t="b">
        <f t="shared" si="113"/>
        <v>1</v>
      </c>
      <c r="P825" t="b">
        <f t="shared" si="114"/>
        <v>0</v>
      </c>
      <c r="Q825" t="b">
        <f t="shared" si="115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08"/>
        <v>OCEANIA_NO_REGION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0</v>
      </c>
      <c r="N826" t="b">
        <f t="shared" si="112"/>
        <v>0</v>
      </c>
      <c r="O826" t="b">
        <f t="shared" si="113"/>
        <v>0</v>
      </c>
      <c r="P826" t="b">
        <f t="shared" si="114"/>
        <v>0</v>
      </c>
      <c r="Q826" t="b">
        <f t="shared" si="115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08"/>
        <v>AFRICA_NO_REGION</v>
      </c>
      <c r="I827" t="b">
        <f t="shared" si="109"/>
        <v>1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2"/>
        <v>0</v>
      </c>
      <c r="O827" t="b">
        <f t="shared" si="113"/>
        <v>0</v>
      </c>
      <c r="P827" t="b">
        <f t="shared" si="114"/>
        <v>0</v>
      </c>
      <c r="Q827" t="b">
        <f t="shared" si="115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08"/>
        <v>OCEANIA_NO_REGION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2"/>
        <v>0</v>
      </c>
      <c r="O828" t="b">
        <f t="shared" si="113"/>
        <v>0</v>
      </c>
      <c r="P828" t="b">
        <f t="shared" si="114"/>
        <v>0</v>
      </c>
      <c r="Q828" t="b">
        <f t="shared" si="115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08"/>
        <v>OCEANIA_NO_REGION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2"/>
        <v>0</v>
      </c>
      <c r="O829" t="b">
        <f t="shared" si="113"/>
        <v>0</v>
      </c>
      <c r="P829" t="b">
        <f t="shared" si="114"/>
        <v>0</v>
      </c>
      <c r="Q829" t="b">
        <f t="shared" si="115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08"/>
        <v>OCEANIA_NO_REGION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2"/>
        <v>0</v>
      </c>
      <c r="O830" t="b">
        <f t="shared" si="113"/>
        <v>0</v>
      </c>
      <c r="P830" t="b">
        <f t="shared" si="114"/>
        <v>0</v>
      </c>
      <c r="Q830" t="b">
        <f t="shared" si="115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08"/>
        <v>OCEANIA_NO_REGION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2"/>
        <v>0</v>
      </c>
      <c r="O831" t="b">
        <f t="shared" si="113"/>
        <v>0</v>
      </c>
      <c r="P831" t="b">
        <f t="shared" si="114"/>
        <v>0</v>
      </c>
      <c r="Q831" t="b">
        <f t="shared" si="115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08"/>
        <v>WESTERN_EUROPE_NO_REGION</v>
      </c>
      <c r="I832" t="b">
        <f t="shared" si="109"/>
        <v>0</v>
      </c>
      <c r="J832" t="b">
        <f t="shared" si="116"/>
        <v>0</v>
      </c>
      <c r="K832" t="b">
        <f t="shared" si="110"/>
        <v>0</v>
      </c>
      <c r="L832" t="b">
        <f t="shared" si="111"/>
        <v>0</v>
      </c>
      <c r="M832" t="b">
        <f t="shared" si="112"/>
        <v>1</v>
      </c>
      <c r="N832" t="b">
        <f t="shared" si="112"/>
        <v>0</v>
      </c>
      <c r="O832" t="b">
        <f t="shared" si="113"/>
        <v>0</v>
      </c>
      <c r="P832" t="b">
        <f t="shared" si="114"/>
        <v>0</v>
      </c>
      <c r="Q832" t="b">
        <f t="shared" si="115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08"/>
        <v>WESTERN_EUROPE_NO_REGION</v>
      </c>
      <c r="I833" t="b">
        <f t="shared" si="109"/>
        <v>0</v>
      </c>
      <c r="J833" t="b">
        <f t="shared" si="116"/>
        <v>0</v>
      </c>
      <c r="K833" t="b">
        <f t="shared" si="110"/>
        <v>0</v>
      </c>
      <c r="L833" t="b">
        <f t="shared" si="111"/>
        <v>0</v>
      </c>
      <c r="M833" t="b">
        <f t="shared" si="112"/>
        <v>1</v>
      </c>
      <c r="N833" t="b">
        <f t="shared" si="112"/>
        <v>0</v>
      </c>
      <c r="O833" t="b">
        <f t="shared" si="113"/>
        <v>0</v>
      </c>
      <c r="P833" t="b">
        <f t="shared" si="114"/>
        <v>0</v>
      </c>
      <c r="Q833" t="b">
        <f t="shared" si="115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08"/>
        <v>NORTHERN_EUROPE_OCEANIA</v>
      </c>
      <c r="I834" t="b">
        <f t="shared" si="109"/>
        <v>0</v>
      </c>
      <c r="J834" t="b">
        <f t="shared" si="116"/>
        <v>0</v>
      </c>
      <c r="K834" t="b">
        <f t="shared" si="110"/>
        <v>0</v>
      </c>
      <c r="L834" t="b">
        <f t="shared" si="111"/>
        <v>0</v>
      </c>
      <c r="M834" t="b">
        <f t="shared" si="112"/>
        <v>0</v>
      </c>
      <c r="N834" t="b">
        <f t="shared" si="112"/>
        <v>1</v>
      </c>
      <c r="O834" t="b">
        <f t="shared" si="113"/>
        <v>0</v>
      </c>
      <c r="P834" t="b">
        <f t="shared" si="114"/>
        <v>0</v>
      </c>
      <c r="Q834" t="b">
        <f t="shared" si="115"/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08"/>
        <v>OCEANIA_NO_REGION</v>
      </c>
      <c r="I835" t="b">
        <f t="shared" si="109"/>
        <v>0</v>
      </c>
      <c r="J835" t="b">
        <f t="shared" si="116"/>
        <v>0</v>
      </c>
      <c r="K835" t="b">
        <f t="shared" ref="K835:K898" si="117">OR(ISNUMBER(SEARCH("ALL_REGION",$H835)),
ISNUMBER(SEARCH("ALL_EUROPE",$H835)),
ISNUMBER(SEARCH(K$1,$H835)),
ISNUMBER(SEARCH("REGIONTYPE1",$H835)))</f>
        <v>0</v>
      </c>
      <c r="L835" t="b">
        <f t="shared" ref="L835:L898" si="118">OR(ISNUMBER(SEARCH("ALL_REGION",$H835)),
ISNUMBER(SEARCH("ALL_EUROPE",$H835)),
ISNUMBER(SEARCH(L$1,$H835)),
ISNUMBER(SEARCH("REGIONTYPE1",$H835)),
ISNUMBER(SEARCH("REGIONTYPE4",$H835)),
ISNUMBER(SEARCH("REGIONTYPE5",$H835)))</f>
        <v>0</v>
      </c>
      <c r="M835" t="b">
        <f t="shared" ref="M835:N866" si="119">OR(ISNUMBER(SEARCH("ALL_REGION",$H835)),
ISNUMBER(SEARCH("ALL_EUROPE",$H835)),
ISNUMBER(SEARCH(M$1,$H835)),
ISNUMBER(SEARCH("REGIONTYPE1",$H835)),
ISNUMBER(SEARCH("REGIONTYPE6",$H835)))</f>
        <v>0</v>
      </c>
      <c r="N835" t="b">
        <f t="shared" si="119"/>
        <v>0</v>
      </c>
      <c r="O835" t="b">
        <f t="shared" ref="O835:O898" si="120">OR(ISNUMBER(SEARCH("ALL_REGION",$H835)),
ISNUMBER(SEARCH("ALL_AMERICA",$H835)),
ISNUMBER(SEARCH(O$1,$H835)),
ISNUMBER(SEARCH("REGIONTYPE2",$H835)))</f>
        <v>0</v>
      </c>
      <c r="P835" t="b">
        <f t="shared" ref="P835:P898" si="121">OR(ISNUMBER(SEARCH("ALL_REGION",$H835)),
ISNUMBER(SEARCH("ALL_AMERICA",$H835)),
ISNUMBER(SEARCH(P$1,$H835)),
ISNUMBER(SEARCH("REGIONTYPE2",$H835)),
ISNUMBER(SEARCH("REGIONTYPE5",$H835)))</f>
        <v>0</v>
      </c>
      <c r="Q835" t="b">
        <f t="shared" ref="Q835:Q898" si="122">OR(ISNUMBER(SEARCH("ALL_REGION",$H835)),
ISNUMBER(SEARCH(Q$1,$H835)),
ISNUMBER(SEARCH("REGIONTYPE3",$H835)))</f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08"/>
        <v>OCEANIA_NO_REGION</v>
      </c>
      <c r="I836" t="b">
        <f t="shared" si="109"/>
        <v>0</v>
      </c>
      <c r="J836" t="b">
        <f t="shared" ref="J836:J899" si="123">OR(ISNUMBER(SEARCH("ALL_REGION",$H836)),
ISNUMBER(SEARCH("ASIA",$H836)),
ISNUMBER(SEARCH("REGIONTYPE1",$H836)),
ISNUMBER(SEARCH("REGIONTYPE2",$H836)),
ISNUMBER(SEARCH("REGIONTYPE3",$H836)),
ISNUMBER(SEARCH("REGIONTYPE4",$H836)))</f>
        <v>0</v>
      </c>
      <c r="K836" t="b">
        <f t="shared" si="117"/>
        <v>0</v>
      </c>
      <c r="L836" t="b">
        <f t="shared" si="118"/>
        <v>0</v>
      </c>
      <c r="M836" t="b">
        <f t="shared" si="119"/>
        <v>0</v>
      </c>
      <c r="N836" t="b">
        <f t="shared" si="119"/>
        <v>0</v>
      </c>
      <c r="O836" t="b">
        <f t="shared" si="120"/>
        <v>0</v>
      </c>
      <c r="P836" t="b">
        <f t="shared" si="121"/>
        <v>0</v>
      </c>
      <c r="Q836" t="b">
        <f t="shared" si="122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08"/>
        <v>OCEANIA_NO_REGION</v>
      </c>
      <c r="I837" t="b">
        <f t="shared" si="109"/>
        <v>0</v>
      </c>
      <c r="J837" t="b">
        <f t="shared" si="123"/>
        <v>0</v>
      </c>
      <c r="K837" t="b">
        <f t="shared" si="117"/>
        <v>0</v>
      </c>
      <c r="L837" t="b">
        <f t="shared" si="118"/>
        <v>0</v>
      </c>
      <c r="M837" t="b">
        <f t="shared" si="119"/>
        <v>0</v>
      </c>
      <c r="N837" t="b">
        <f t="shared" si="119"/>
        <v>0</v>
      </c>
      <c r="O837" t="b">
        <f t="shared" si="120"/>
        <v>0</v>
      </c>
      <c r="P837" t="b">
        <f t="shared" si="121"/>
        <v>0</v>
      </c>
      <c r="Q837" t="b">
        <f t="shared" si="122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08"/>
        <v>OCEANIA_NO_REGION</v>
      </c>
      <c r="I838" t="b">
        <f t="shared" si="109"/>
        <v>0</v>
      </c>
      <c r="J838" t="b">
        <f t="shared" si="123"/>
        <v>0</v>
      </c>
      <c r="K838" t="b">
        <f t="shared" si="117"/>
        <v>0</v>
      </c>
      <c r="L838" t="b">
        <f t="shared" si="118"/>
        <v>0</v>
      </c>
      <c r="M838" t="b">
        <f t="shared" si="119"/>
        <v>0</v>
      </c>
      <c r="N838" t="b">
        <f t="shared" si="119"/>
        <v>0</v>
      </c>
      <c r="O838" t="b">
        <f t="shared" si="120"/>
        <v>0</v>
      </c>
      <c r="P838" t="b">
        <f t="shared" si="121"/>
        <v>0</v>
      </c>
      <c r="Q838" t="b">
        <f t="shared" si="122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08"/>
        <v>OCEANIA_NO_REGION</v>
      </c>
      <c r="I839" t="b">
        <f t="shared" si="109"/>
        <v>0</v>
      </c>
      <c r="J839" t="b">
        <f t="shared" si="123"/>
        <v>0</v>
      </c>
      <c r="K839" t="b">
        <f t="shared" si="117"/>
        <v>0</v>
      </c>
      <c r="L839" t="b">
        <f t="shared" si="118"/>
        <v>0</v>
      </c>
      <c r="M839" t="b">
        <f t="shared" si="119"/>
        <v>0</v>
      </c>
      <c r="N839" t="b">
        <f t="shared" si="119"/>
        <v>0</v>
      </c>
      <c r="O839" t="b">
        <f t="shared" si="120"/>
        <v>0</v>
      </c>
      <c r="P839" t="b">
        <f t="shared" si="121"/>
        <v>0</v>
      </c>
      <c r="Q839" t="b">
        <f t="shared" si="122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08"/>
        <v>OCEANIA_NO_REGION</v>
      </c>
      <c r="I840" t="b">
        <f t="shared" si="109"/>
        <v>0</v>
      </c>
      <c r="J840" t="b">
        <f t="shared" si="123"/>
        <v>0</v>
      </c>
      <c r="K840" t="b">
        <f t="shared" si="117"/>
        <v>0</v>
      </c>
      <c r="L840" t="b">
        <f t="shared" si="118"/>
        <v>0</v>
      </c>
      <c r="M840" t="b">
        <f t="shared" si="119"/>
        <v>0</v>
      </c>
      <c r="N840" t="b">
        <f t="shared" si="119"/>
        <v>0</v>
      </c>
      <c r="O840" t="b">
        <f t="shared" si="120"/>
        <v>0</v>
      </c>
      <c r="P840" t="b">
        <f t="shared" si="121"/>
        <v>0</v>
      </c>
      <c r="Q840" t="b">
        <f t="shared" si="122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08"/>
        <v>NORTHERN_EUROPE_OCEANIA</v>
      </c>
      <c r="I841" t="b">
        <f t="shared" si="109"/>
        <v>0</v>
      </c>
      <c r="J841" t="b">
        <f t="shared" si="123"/>
        <v>0</v>
      </c>
      <c r="K841" t="b">
        <f t="shared" si="117"/>
        <v>0</v>
      </c>
      <c r="L841" t="b">
        <f t="shared" si="118"/>
        <v>0</v>
      </c>
      <c r="M841" t="b">
        <f t="shared" si="119"/>
        <v>0</v>
      </c>
      <c r="N841" t="b">
        <f t="shared" si="119"/>
        <v>1</v>
      </c>
      <c r="O841" t="b">
        <f t="shared" si="120"/>
        <v>0</v>
      </c>
      <c r="P841" t="b">
        <f t="shared" si="121"/>
        <v>0</v>
      </c>
      <c r="Q841" t="b">
        <f t="shared" si="122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08"/>
        <v>OCEANIA_NO_REGION</v>
      </c>
      <c r="I842" t="b">
        <f t="shared" si="109"/>
        <v>0</v>
      </c>
      <c r="J842" t="b">
        <f t="shared" si="123"/>
        <v>0</v>
      </c>
      <c r="K842" t="b">
        <f t="shared" si="117"/>
        <v>0</v>
      </c>
      <c r="L842" t="b">
        <f t="shared" si="118"/>
        <v>0</v>
      </c>
      <c r="M842" t="b">
        <f t="shared" si="119"/>
        <v>0</v>
      </c>
      <c r="N842" t="b">
        <f t="shared" si="119"/>
        <v>0</v>
      </c>
      <c r="O842" t="b">
        <f t="shared" si="120"/>
        <v>0</v>
      </c>
      <c r="P842" t="b">
        <f t="shared" si="121"/>
        <v>0</v>
      </c>
      <c r="Q842" t="b">
        <f t="shared" si="122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08"/>
        <v>OCEANIA_NO_REGION</v>
      </c>
      <c r="I843" t="b">
        <f t="shared" si="109"/>
        <v>0</v>
      </c>
      <c r="J843" t="b">
        <f t="shared" si="123"/>
        <v>0</v>
      </c>
      <c r="K843" t="b">
        <f t="shared" si="117"/>
        <v>0</v>
      </c>
      <c r="L843" t="b">
        <f t="shared" si="118"/>
        <v>0</v>
      </c>
      <c r="M843" t="b">
        <f t="shared" si="119"/>
        <v>0</v>
      </c>
      <c r="N843" t="b">
        <f t="shared" si="119"/>
        <v>0</v>
      </c>
      <c r="O843" t="b">
        <f t="shared" si="120"/>
        <v>0</v>
      </c>
      <c r="P843" t="b">
        <f t="shared" si="121"/>
        <v>0</v>
      </c>
      <c r="Q843" t="b">
        <f t="shared" si="122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08"/>
        <v>OCEANIA_NO_REGION</v>
      </c>
      <c r="I844" t="b">
        <f t="shared" si="109"/>
        <v>0</v>
      </c>
      <c r="J844" t="b">
        <f t="shared" si="123"/>
        <v>0</v>
      </c>
      <c r="K844" t="b">
        <f t="shared" si="117"/>
        <v>0</v>
      </c>
      <c r="L844" t="b">
        <f t="shared" si="118"/>
        <v>0</v>
      </c>
      <c r="M844" t="b">
        <f t="shared" si="119"/>
        <v>0</v>
      </c>
      <c r="N844" t="b">
        <f t="shared" si="119"/>
        <v>0</v>
      </c>
      <c r="O844" t="b">
        <f t="shared" si="120"/>
        <v>0</v>
      </c>
      <c r="P844" t="b">
        <f t="shared" si="121"/>
        <v>0</v>
      </c>
      <c r="Q844" t="b">
        <f t="shared" si="122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08"/>
        <v>OCEANIA_NO_REGION</v>
      </c>
      <c r="I845" t="b">
        <f t="shared" si="109"/>
        <v>0</v>
      </c>
      <c r="J845" t="b">
        <f t="shared" si="123"/>
        <v>0</v>
      </c>
      <c r="K845" t="b">
        <f t="shared" si="117"/>
        <v>0</v>
      </c>
      <c r="L845" t="b">
        <f t="shared" si="118"/>
        <v>0</v>
      </c>
      <c r="M845" t="b">
        <f t="shared" si="119"/>
        <v>0</v>
      </c>
      <c r="N845" t="b">
        <f t="shared" si="119"/>
        <v>0</v>
      </c>
      <c r="O845" t="b">
        <f t="shared" si="120"/>
        <v>0</v>
      </c>
      <c r="P845" t="b">
        <f t="shared" si="121"/>
        <v>0</v>
      </c>
      <c r="Q845" t="b">
        <f t="shared" si="122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08"/>
        <v>ALL_REGION_NO_REGION</v>
      </c>
      <c r="I846" t="b">
        <f t="shared" si="109"/>
        <v>1</v>
      </c>
      <c r="J846" t="b">
        <f t="shared" si="123"/>
        <v>1</v>
      </c>
      <c r="K846" t="b">
        <f t="shared" si="117"/>
        <v>1</v>
      </c>
      <c r="L846" t="b">
        <f t="shared" si="118"/>
        <v>1</v>
      </c>
      <c r="M846" t="b">
        <f t="shared" si="119"/>
        <v>1</v>
      </c>
      <c r="N846" t="b">
        <f t="shared" si="119"/>
        <v>1</v>
      </c>
      <c r="O846" t="b">
        <f t="shared" si="120"/>
        <v>1</v>
      </c>
      <c r="P846" t="b">
        <f t="shared" si="121"/>
        <v>1</v>
      </c>
      <c r="Q846" t="b">
        <f t="shared" si="122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08"/>
        <v>ALL_REGION_NO_REGION</v>
      </c>
      <c r="I847" t="b">
        <f t="shared" si="109"/>
        <v>1</v>
      </c>
      <c r="J847" t="b">
        <f t="shared" si="123"/>
        <v>1</v>
      </c>
      <c r="K847" t="b">
        <f t="shared" si="117"/>
        <v>1</v>
      </c>
      <c r="L847" t="b">
        <f t="shared" si="118"/>
        <v>1</v>
      </c>
      <c r="M847" t="b">
        <f t="shared" si="119"/>
        <v>1</v>
      </c>
      <c r="N847" t="b">
        <f t="shared" si="119"/>
        <v>1</v>
      </c>
      <c r="O847" t="b">
        <f t="shared" si="120"/>
        <v>1</v>
      </c>
      <c r="P847" t="b">
        <f t="shared" si="121"/>
        <v>1</v>
      </c>
      <c r="Q847" t="b">
        <f t="shared" si="122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08"/>
        <v>OCEANIA_NO_REGION</v>
      </c>
      <c r="I848" t="b">
        <f t="shared" si="109"/>
        <v>0</v>
      </c>
      <c r="J848" t="b">
        <f t="shared" si="123"/>
        <v>0</v>
      </c>
      <c r="K848" t="b">
        <f t="shared" si="117"/>
        <v>0</v>
      </c>
      <c r="L848" t="b">
        <f t="shared" si="118"/>
        <v>0</v>
      </c>
      <c r="M848" t="b">
        <f t="shared" si="119"/>
        <v>0</v>
      </c>
      <c r="N848" t="b">
        <f t="shared" si="119"/>
        <v>0</v>
      </c>
      <c r="O848" t="b">
        <f t="shared" si="120"/>
        <v>0</v>
      </c>
      <c r="P848" t="b">
        <f t="shared" si="121"/>
        <v>0</v>
      </c>
      <c r="Q848" t="b">
        <f t="shared" si="122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08"/>
        <v>OCEANIA_NO_REGION</v>
      </c>
      <c r="I849" t="b">
        <f t="shared" si="109"/>
        <v>0</v>
      </c>
      <c r="J849" t="b">
        <f t="shared" si="123"/>
        <v>0</v>
      </c>
      <c r="K849" t="b">
        <f t="shared" si="117"/>
        <v>0</v>
      </c>
      <c r="L849" t="b">
        <f t="shared" si="118"/>
        <v>0</v>
      </c>
      <c r="M849" t="b">
        <f t="shared" si="119"/>
        <v>0</v>
      </c>
      <c r="N849" t="b">
        <f t="shared" si="119"/>
        <v>0</v>
      </c>
      <c r="O849" t="b">
        <f t="shared" si="120"/>
        <v>0</v>
      </c>
      <c r="P849" t="b">
        <f t="shared" si="121"/>
        <v>0</v>
      </c>
      <c r="Q849" t="b">
        <f t="shared" si="122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08"/>
        <v>OCEANIA_NO_REGION</v>
      </c>
      <c r="I850" t="b">
        <f t="shared" si="109"/>
        <v>0</v>
      </c>
      <c r="J850" t="b">
        <f t="shared" si="123"/>
        <v>0</v>
      </c>
      <c r="K850" t="b">
        <f t="shared" si="117"/>
        <v>0</v>
      </c>
      <c r="L850" t="b">
        <f t="shared" si="118"/>
        <v>0</v>
      </c>
      <c r="M850" t="b">
        <f t="shared" si="119"/>
        <v>0</v>
      </c>
      <c r="N850" t="b">
        <f t="shared" si="119"/>
        <v>0</v>
      </c>
      <c r="O850" t="b">
        <f t="shared" si="120"/>
        <v>0</v>
      </c>
      <c r="P850" t="b">
        <f t="shared" si="121"/>
        <v>0</v>
      </c>
      <c r="Q850" t="b">
        <f t="shared" si="122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08"/>
        <v>OCEANIA_NO_REGION</v>
      </c>
      <c r="I851" t="b">
        <f t="shared" si="109"/>
        <v>0</v>
      </c>
      <c r="J851" t="b">
        <f t="shared" si="123"/>
        <v>0</v>
      </c>
      <c r="K851" t="b">
        <f t="shared" si="117"/>
        <v>0</v>
      </c>
      <c r="L851" t="b">
        <f t="shared" si="118"/>
        <v>0</v>
      </c>
      <c r="M851" t="b">
        <f t="shared" si="119"/>
        <v>0</v>
      </c>
      <c r="N851" t="b">
        <f t="shared" si="119"/>
        <v>0</v>
      </c>
      <c r="O851" t="b">
        <f t="shared" si="120"/>
        <v>0</v>
      </c>
      <c r="P851" t="b">
        <f t="shared" si="121"/>
        <v>0</v>
      </c>
      <c r="Q851" t="b">
        <f t="shared" si="122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24">_xlfn.CONCAT($F852,"_",$G852)</f>
        <v>OCEANIA_NO_REGION</v>
      </c>
      <c r="I852" t="b">
        <f t="shared" ref="I852:I915" si="125">OR(ISNUMBER(SEARCH("ALL_REGION",$H852)),
ISNUMBER(SEARCH("AFRICA",$H852)),
ISNUMBER(SEARCH("REGIONTYPE1",$H852)),
ISNUMBER(SEARCH("REGIONTYPE2",$H852)))</f>
        <v>0</v>
      </c>
      <c r="J852" t="b">
        <f t="shared" si="123"/>
        <v>0</v>
      </c>
      <c r="K852" t="b">
        <f t="shared" si="117"/>
        <v>0</v>
      </c>
      <c r="L852" t="b">
        <f t="shared" si="118"/>
        <v>0</v>
      </c>
      <c r="M852" t="b">
        <f t="shared" si="119"/>
        <v>0</v>
      </c>
      <c r="N852" t="b">
        <f t="shared" si="119"/>
        <v>0</v>
      </c>
      <c r="O852" t="b">
        <f t="shared" si="120"/>
        <v>0</v>
      </c>
      <c r="P852" t="b">
        <f t="shared" si="121"/>
        <v>0</v>
      </c>
      <c r="Q852" t="b">
        <f t="shared" si="122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24"/>
        <v>OCEANIA_NO_REGION</v>
      </c>
      <c r="I853" t="b">
        <f t="shared" si="125"/>
        <v>0</v>
      </c>
      <c r="J853" t="b">
        <f t="shared" si="123"/>
        <v>0</v>
      </c>
      <c r="K853" t="b">
        <f t="shared" si="117"/>
        <v>0</v>
      </c>
      <c r="L853" t="b">
        <f t="shared" si="118"/>
        <v>0</v>
      </c>
      <c r="M853" t="b">
        <f t="shared" si="119"/>
        <v>0</v>
      </c>
      <c r="N853" t="b">
        <f t="shared" si="119"/>
        <v>0</v>
      </c>
      <c r="O853" t="b">
        <f t="shared" si="120"/>
        <v>0</v>
      </c>
      <c r="P853" t="b">
        <f t="shared" si="121"/>
        <v>0</v>
      </c>
      <c r="Q853" t="b">
        <f t="shared" si="122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24"/>
        <v>OCEANIA_NO_REGION</v>
      </c>
      <c r="I854" t="b">
        <f t="shared" si="125"/>
        <v>0</v>
      </c>
      <c r="J854" t="b">
        <f t="shared" si="123"/>
        <v>0</v>
      </c>
      <c r="K854" t="b">
        <f t="shared" si="117"/>
        <v>0</v>
      </c>
      <c r="L854" t="b">
        <f t="shared" si="118"/>
        <v>0</v>
      </c>
      <c r="M854" t="b">
        <f t="shared" si="119"/>
        <v>0</v>
      </c>
      <c r="N854" t="b">
        <f t="shared" si="119"/>
        <v>0</v>
      </c>
      <c r="O854" t="b">
        <f t="shared" si="120"/>
        <v>0</v>
      </c>
      <c r="P854" t="b">
        <f t="shared" si="121"/>
        <v>0</v>
      </c>
      <c r="Q854" t="b">
        <f t="shared" si="122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24"/>
        <v>OCEANIA_NO_REGION</v>
      </c>
      <c r="I855" t="b">
        <f t="shared" si="125"/>
        <v>0</v>
      </c>
      <c r="J855" t="b">
        <f t="shared" si="123"/>
        <v>0</v>
      </c>
      <c r="K855" t="b">
        <f t="shared" si="117"/>
        <v>0</v>
      </c>
      <c r="L855" t="b">
        <f t="shared" si="118"/>
        <v>0</v>
      </c>
      <c r="M855" t="b">
        <f t="shared" si="119"/>
        <v>0</v>
      </c>
      <c r="N855" t="b">
        <f t="shared" si="119"/>
        <v>0</v>
      </c>
      <c r="O855" t="b">
        <f t="shared" si="120"/>
        <v>0</v>
      </c>
      <c r="P855" t="b">
        <f t="shared" si="121"/>
        <v>0</v>
      </c>
      <c r="Q855" t="b">
        <f t="shared" si="122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24"/>
        <v>OCEANIA_NO_REGION</v>
      </c>
      <c r="I856" t="b">
        <f t="shared" si="125"/>
        <v>0</v>
      </c>
      <c r="J856" t="b">
        <f t="shared" si="123"/>
        <v>0</v>
      </c>
      <c r="K856" t="b">
        <f t="shared" si="117"/>
        <v>0</v>
      </c>
      <c r="L856" t="b">
        <f t="shared" si="118"/>
        <v>0</v>
      </c>
      <c r="M856" t="b">
        <f t="shared" si="119"/>
        <v>0</v>
      </c>
      <c r="N856" t="b">
        <f t="shared" si="119"/>
        <v>0</v>
      </c>
      <c r="O856" t="b">
        <f t="shared" si="120"/>
        <v>0</v>
      </c>
      <c r="P856" t="b">
        <f t="shared" si="121"/>
        <v>0</v>
      </c>
      <c r="Q856" t="b">
        <f t="shared" si="122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24"/>
        <v>OCEANIA_NO_REGION</v>
      </c>
      <c r="I857" t="b">
        <f t="shared" si="125"/>
        <v>0</v>
      </c>
      <c r="J857" t="b">
        <f t="shared" si="123"/>
        <v>0</v>
      </c>
      <c r="K857" t="b">
        <f t="shared" si="117"/>
        <v>0</v>
      </c>
      <c r="L857" t="b">
        <f t="shared" si="118"/>
        <v>0</v>
      </c>
      <c r="M857" t="b">
        <f t="shared" si="119"/>
        <v>0</v>
      </c>
      <c r="N857" t="b">
        <f t="shared" si="119"/>
        <v>0</v>
      </c>
      <c r="O857" t="b">
        <f t="shared" si="120"/>
        <v>0</v>
      </c>
      <c r="P857" t="b">
        <f t="shared" si="121"/>
        <v>0</v>
      </c>
      <c r="Q857" t="b">
        <f t="shared" si="122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24"/>
        <v>OCEANIA_NO_REGION</v>
      </c>
      <c r="I858" t="b">
        <f t="shared" si="125"/>
        <v>0</v>
      </c>
      <c r="J858" t="b">
        <f t="shared" si="123"/>
        <v>0</v>
      </c>
      <c r="K858" t="b">
        <f t="shared" si="117"/>
        <v>0</v>
      </c>
      <c r="L858" t="b">
        <f t="shared" si="118"/>
        <v>0</v>
      </c>
      <c r="M858" t="b">
        <f t="shared" si="119"/>
        <v>0</v>
      </c>
      <c r="N858" t="b">
        <f t="shared" si="119"/>
        <v>0</v>
      </c>
      <c r="O858" t="b">
        <f t="shared" si="120"/>
        <v>0</v>
      </c>
      <c r="P858" t="b">
        <f t="shared" si="121"/>
        <v>0</v>
      </c>
      <c r="Q858" t="b">
        <f t="shared" si="122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24"/>
        <v>OCEANIA_NO_REGION</v>
      </c>
      <c r="I859" t="b">
        <f t="shared" si="125"/>
        <v>0</v>
      </c>
      <c r="J859" t="b">
        <f t="shared" si="123"/>
        <v>0</v>
      </c>
      <c r="K859" t="b">
        <f t="shared" si="117"/>
        <v>0</v>
      </c>
      <c r="L859" t="b">
        <f t="shared" si="118"/>
        <v>0</v>
      </c>
      <c r="M859" t="b">
        <f t="shared" si="119"/>
        <v>0</v>
      </c>
      <c r="N859" t="b">
        <f t="shared" si="119"/>
        <v>0</v>
      </c>
      <c r="O859" t="b">
        <f t="shared" si="120"/>
        <v>0</v>
      </c>
      <c r="P859" t="b">
        <f t="shared" si="121"/>
        <v>0</v>
      </c>
      <c r="Q859" t="b">
        <f t="shared" si="122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24"/>
        <v>OCEANIA_NO_REGION</v>
      </c>
      <c r="I860" t="b">
        <f t="shared" si="125"/>
        <v>0</v>
      </c>
      <c r="J860" t="b">
        <f t="shared" si="123"/>
        <v>0</v>
      </c>
      <c r="K860" t="b">
        <f t="shared" si="117"/>
        <v>0</v>
      </c>
      <c r="L860" t="b">
        <f t="shared" si="118"/>
        <v>0</v>
      </c>
      <c r="M860" t="b">
        <f t="shared" si="119"/>
        <v>0</v>
      </c>
      <c r="N860" t="b">
        <f t="shared" si="119"/>
        <v>0</v>
      </c>
      <c r="O860" t="b">
        <f t="shared" si="120"/>
        <v>0</v>
      </c>
      <c r="P860" t="b">
        <f t="shared" si="121"/>
        <v>0</v>
      </c>
      <c r="Q860" t="b">
        <f t="shared" si="122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24"/>
        <v>OCEANIA_NO_REGION</v>
      </c>
      <c r="I861" t="b">
        <f t="shared" si="125"/>
        <v>0</v>
      </c>
      <c r="J861" t="b">
        <f t="shared" si="123"/>
        <v>0</v>
      </c>
      <c r="K861" t="b">
        <f t="shared" si="117"/>
        <v>0</v>
      </c>
      <c r="L861" t="b">
        <f t="shared" si="118"/>
        <v>0</v>
      </c>
      <c r="M861" t="b">
        <f t="shared" si="119"/>
        <v>0</v>
      </c>
      <c r="N861" t="b">
        <f t="shared" si="119"/>
        <v>0</v>
      </c>
      <c r="O861" t="b">
        <f t="shared" si="120"/>
        <v>0</v>
      </c>
      <c r="P861" t="b">
        <f t="shared" si="121"/>
        <v>0</v>
      </c>
      <c r="Q861" t="b">
        <f t="shared" si="122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24"/>
        <v>OCEANIA_NO_REGION</v>
      </c>
      <c r="I862" t="b">
        <f t="shared" si="125"/>
        <v>0</v>
      </c>
      <c r="J862" t="b">
        <f t="shared" si="123"/>
        <v>0</v>
      </c>
      <c r="K862" t="b">
        <f t="shared" si="117"/>
        <v>0</v>
      </c>
      <c r="L862" t="b">
        <f t="shared" si="118"/>
        <v>0</v>
      </c>
      <c r="M862" t="b">
        <f t="shared" si="119"/>
        <v>0</v>
      </c>
      <c r="N862" t="b">
        <f t="shared" si="119"/>
        <v>0</v>
      </c>
      <c r="O862" t="b">
        <f t="shared" si="120"/>
        <v>0</v>
      </c>
      <c r="P862" t="b">
        <f t="shared" si="121"/>
        <v>0</v>
      </c>
      <c r="Q862" t="b">
        <f t="shared" si="122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24"/>
        <v>OCEANIA_NO_REGION</v>
      </c>
      <c r="I863" t="b">
        <f t="shared" si="125"/>
        <v>0</v>
      </c>
      <c r="J863" t="b">
        <f t="shared" si="123"/>
        <v>0</v>
      </c>
      <c r="K863" t="b">
        <f t="shared" si="117"/>
        <v>0</v>
      </c>
      <c r="L863" t="b">
        <f t="shared" si="118"/>
        <v>0</v>
      </c>
      <c r="M863" t="b">
        <f t="shared" si="119"/>
        <v>0</v>
      </c>
      <c r="N863" t="b">
        <f t="shared" si="119"/>
        <v>0</v>
      </c>
      <c r="O863" t="b">
        <f t="shared" si="120"/>
        <v>0</v>
      </c>
      <c r="P863" t="b">
        <f t="shared" si="121"/>
        <v>0</v>
      </c>
      <c r="Q863" t="b">
        <f t="shared" si="122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24"/>
        <v>OCEANIA_NO_REGION</v>
      </c>
      <c r="I864" t="b">
        <f t="shared" si="125"/>
        <v>0</v>
      </c>
      <c r="J864" t="b">
        <f t="shared" si="123"/>
        <v>0</v>
      </c>
      <c r="K864" t="b">
        <f t="shared" si="117"/>
        <v>0</v>
      </c>
      <c r="L864" t="b">
        <f t="shared" si="118"/>
        <v>0</v>
      </c>
      <c r="M864" t="b">
        <f t="shared" si="119"/>
        <v>0</v>
      </c>
      <c r="N864" t="b">
        <f t="shared" si="119"/>
        <v>0</v>
      </c>
      <c r="O864" t="b">
        <f t="shared" si="120"/>
        <v>0</v>
      </c>
      <c r="P864" t="b">
        <f t="shared" si="121"/>
        <v>0</v>
      </c>
      <c r="Q864" t="b">
        <f t="shared" si="122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24"/>
        <v>OCEANIA_NO_REGION</v>
      </c>
      <c r="I865" t="b">
        <f t="shared" si="125"/>
        <v>0</v>
      </c>
      <c r="J865" t="b">
        <f t="shared" si="123"/>
        <v>0</v>
      </c>
      <c r="K865" t="b">
        <f t="shared" si="117"/>
        <v>0</v>
      </c>
      <c r="L865" t="b">
        <f t="shared" si="118"/>
        <v>0</v>
      </c>
      <c r="M865" t="b">
        <f t="shared" si="119"/>
        <v>0</v>
      </c>
      <c r="N865" t="b">
        <f t="shared" si="119"/>
        <v>0</v>
      </c>
      <c r="O865" t="b">
        <f t="shared" si="120"/>
        <v>0</v>
      </c>
      <c r="P865" t="b">
        <f t="shared" si="121"/>
        <v>0</v>
      </c>
      <c r="Q865" t="b">
        <f t="shared" si="122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24"/>
        <v>OCEANIA_NO_REGION</v>
      </c>
      <c r="I866" t="b">
        <f t="shared" si="125"/>
        <v>0</v>
      </c>
      <c r="J866" t="b">
        <f t="shared" si="123"/>
        <v>0</v>
      </c>
      <c r="K866" t="b">
        <f t="shared" si="117"/>
        <v>0</v>
      </c>
      <c r="L866" t="b">
        <f t="shared" si="118"/>
        <v>0</v>
      </c>
      <c r="M866" t="b">
        <f t="shared" si="119"/>
        <v>0</v>
      </c>
      <c r="N866" t="b">
        <f t="shared" si="119"/>
        <v>0</v>
      </c>
      <c r="O866" t="b">
        <f t="shared" si="120"/>
        <v>0</v>
      </c>
      <c r="P866" t="b">
        <f t="shared" si="121"/>
        <v>0</v>
      </c>
      <c r="Q866" t="b">
        <f t="shared" si="122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24"/>
        <v>OCEANIA_NO_REGION</v>
      </c>
      <c r="I867" t="b">
        <f t="shared" si="125"/>
        <v>0</v>
      </c>
      <c r="J867" t="b">
        <f t="shared" si="123"/>
        <v>0</v>
      </c>
      <c r="K867" t="b">
        <f t="shared" si="117"/>
        <v>0</v>
      </c>
      <c r="L867" t="b">
        <f t="shared" si="118"/>
        <v>0</v>
      </c>
      <c r="M867" t="b">
        <f t="shared" ref="M867:N898" si="126">OR(ISNUMBER(SEARCH("ALL_REGION",$H867)),
ISNUMBER(SEARCH("ALL_EUROPE",$H867)),
ISNUMBER(SEARCH(M$1,$H867)),
ISNUMBER(SEARCH("REGIONTYPE1",$H867)),
ISNUMBER(SEARCH("REGIONTYPE6",$H867)))</f>
        <v>0</v>
      </c>
      <c r="N867" t="b">
        <f t="shared" si="126"/>
        <v>0</v>
      </c>
      <c r="O867" t="b">
        <f t="shared" si="120"/>
        <v>0</v>
      </c>
      <c r="P867" t="b">
        <f t="shared" si="121"/>
        <v>0</v>
      </c>
      <c r="Q867" t="b">
        <f t="shared" si="122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24"/>
        <v>OCEANIA_NO_REGION</v>
      </c>
      <c r="I868" t="b">
        <f t="shared" si="125"/>
        <v>0</v>
      </c>
      <c r="J868" t="b">
        <f t="shared" si="123"/>
        <v>0</v>
      </c>
      <c r="K868" t="b">
        <f t="shared" si="117"/>
        <v>0</v>
      </c>
      <c r="L868" t="b">
        <f t="shared" si="118"/>
        <v>0</v>
      </c>
      <c r="M868" t="b">
        <f t="shared" si="126"/>
        <v>0</v>
      </c>
      <c r="N868" t="b">
        <f t="shared" si="126"/>
        <v>0</v>
      </c>
      <c r="O868" t="b">
        <f t="shared" si="120"/>
        <v>0</v>
      </c>
      <c r="P868" t="b">
        <f t="shared" si="121"/>
        <v>0</v>
      </c>
      <c r="Q868" t="b">
        <f t="shared" si="122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2000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NO_REGION</v>
      </c>
      <c r="H869" s="31" t="str">
        <f t="shared" si="124"/>
        <v>OCEANIA_NO_REGION</v>
      </c>
      <c r="I869" t="b">
        <f t="shared" si="125"/>
        <v>0</v>
      </c>
      <c r="J869" t="b">
        <f t="shared" si="123"/>
        <v>0</v>
      </c>
      <c r="K869" t="b">
        <f t="shared" si="117"/>
        <v>0</v>
      </c>
      <c r="L869" t="b">
        <f t="shared" si="118"/>
        <v>0</v>
      </c>
      <c r="M869" t="b">
        <f t="shared" si="126"/>
        <v>0</v>
      </c>
      <c r="N869" t="b">
        <f t="shared" si="126"/>
        <v>0</v>
      </c>
      <c r="O869" t="b">
        <f t="shared" si="120"/>
        <v>0</v>
      </c>
      <c r="P869" t="b">
        <f t="shared" si="121"/>
        <v>0</v>
      </c>
      <c r="Q869" t="b">
        <f t="shared" si="122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24"/>
        <v>OCEANIA_NO_REGION</v>
      </c>
      <c r="I870" t="b">
        <f t="shared" si="125"/>
        <v>0</v>
      </c>
      <c r="J870" t="b">
        <f t="shared" si="123"/>
        <v>0</v>
      </c>
      <c r="K870" t="b">
        <f t="shared" si="117"/>
        <v>0</v>
      </c>
      <c r="L870" t="b">
        <f t="shared" si="118"/>
        <v>0</v>
      </c>
      <c r="M870" t="b">
        <f t="shared" si="126"/>
        <v>0</v>
      </c>
      <c r="N870" t="b">
        <f t="shared" si="126"/>
        <v>0</v>
      </c>
      <c r="O870" t="b">
        <f t="shared" si="120"/>
        <v>0</v>
      </c>
      <c r="P870" t="b">
        <f t="shared" si="121"/>
        <v>0</v>
      </c>
      <c r="Q870" t="b">
        <f t="shared" si="122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24"/>
        <v>OCEANIA_NO_REGION</v>
      </c>
      <c r="I871" t="b">
        <f t="shared" si="125"/>
        <v>0</v>
      </c>
      <c r="J871" t="b">
        <f t="shared" si="123"/>
        <v>0</v>
      </c>
      <c r="K871" t="b">
        <f t="shared" si="117"/>
        <v>0</v>
      </c>
      <c r="L871" t="b">
        <f t="shared" si="118"/>
        <v>0</v>
      </c>
      <c r="M871" t="b">
        <f t="shared" si="126"/>
        <v>0</v>
      </c>
      <c r="N871" t="b">
        <f t="shared" si="126"/>
        <v>0</v>
      </c>
      <c r="O871" t="b">
        <f t="shared" si="120"/>
        <v>0</v>
      </c>
      <c r="P871" t="b">
        <f t="shared" si="121"/>
        <v>0</v>
      </c>
      <c r="Q871" t="b">
        <f t="shared" si="122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24"/>
        <v>OCEANIA_NO_REGION</v>
      </c>
      <c r="I872" t="b">
        <f t="shared" si="125"/>
        <v>0</v>
      </c>
      <c r="J872" t="b">
        <f t="shared" si="123"/>
        <v>0</v>
      </c>
      <c r="K872" t="b">
        <f t="shared" si="117"/>
        <v>0</v>
      </c>
      <c r="L872" t="b">
        <f t="shared" si="118"/>
        <v>0</v>
      </c>
      <c r="M872" t="b">
        <f t="shared" si="126"/>
        <v>0</v>
      </c>
      <c r="N872" t="b">
        <f t="shared" si="126"/>
        <v>0</v>
      </c>
      <c r="O872" t="b">
        <f t="shared" si="120"/>
        <v>0</v>
      </c>
      <c r="P872" t="b">
        <f t="shared" si="121"/>
        <v>0</v>
      </c>
      <c r="Q872" t="b">
        <f t="shared" si="122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24"/>
        <v>OCEANIA_NO_REGION</v>
      </c>
      <c r="I873" t="b">
        <f t="shared" si="125"/>
        <v>0</v>
      </c>
      <c r="J873" t="b">
        <f t="shared" si="123"/>
        <v>0</v>
      </c>
      <c r="K873" t="b">
        <f t="shared" si="117"/>
        <v>0</v>
      </c>
      <c r="L873" t="b">
        <f t="shared" si="118"/>
        <v>0</v>
      </c>
      <c r="M873" t="b">
        <f t="shared" si="126"/>
        <v>0</v>
      </c>
      <c r="N873" t="b">
        <f t="shared" si="126"/>
        <v>0</v>
      </c>
      <c r="O873" t="b">
        <f t="shared" si="120"/>
        <v>0</v>
      </c>
      <c r="P873" t="b">
        <f t="shared" si="121"/>
        <v>0</v>
      </c>
      <c r="Q873" t="b">
        <f t="shared" si="122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24"/>
        <v>OCEANIA_NO_REGION</v>
      </c>
      <c r="I874" t="b">
        <f t="shared" si="125"/>
        <v>0</v>
      </c>
      <c r="J874" t="b">
        <f t="shared" si="123"/>
        <v>0</v>
      </c>
      <c r="K874" t="b">
        <f t="shared" si="117"/>
        <v>0</v>
      </c>
      <c r="L874" t="b">
        <f t="shared" si="118"/>
        <v>0</v>
      </c>
      <c r="M874" t="b">
        <f t="shared" si="126"/>
        <v>0</v>
      </c>
      <c r="N874" t="b">
        <f t="shared" si="126"/>
        <v>0</v>
      </c>
      <c r="O874" t="b">
        <f t="shared" si="120"/>
        <v>0</v>
      </c>
      <c r="P874" t="b">
        <f t="shared" si="121"/>
        <v>0</v>
      </c>
      <c r="Q874" t="b">
        <f t="shared" si="122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24"/>
        <v>OCEANIA_NO_REGION</v>
      </c>
      <c r="I875" t="b">
        <f t="shared" si="125"/>
        <v>0</v>
      </c>
      <c r="J875" t="b">
        <f t="shared" si="123"/>
        <v>0</v>
      </c>
      <c r="K875" t="b">
        <f t="shared" si="117"/>
        <v>0</v>
      </c>
      <c r="L875" t="b">
        <f t="shared" si="118"/>
        <v>0</v>
      </c>
      <c r="M875" t="b">
        <f t="shared" si="126"/>
        <v>0</v>
      </c>
      <c r="N875" t="b">
        <f t="shared" si="126"/>
        <v>0</v>
      </c>
      <c r="O875" t="b">
        <f t="shared" si="120"/>
        <v>0</v>
      </c>
      <c r="P875" t="b">
        <f t="shared" si="121"/>
        <v>0</v>
      </c>
      <c r="Q875" t="b">
        <f t="shared" si="122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24"/>
        <v>OCEANIA_NO_REGION</v>
      </c>
      <c r="I876" t="b">
        <f t="shared" si="125"/>
        <v>0</v>
      </c>
      <c r="J876" t="b">
        <f t="shared" si="123"/>
        <v>0</v>
      </c>
      <c r="K876" t="b">
        <f t="shared" si="117"/>
        <v>0</v>
      </c>
      <c r="L876" t="b">
        <f t="shared" si="118"/>
        <v>0</v>
      </c>
      <c r="M876" t="b">
        <f t="shared" si="126"/>
        <v>0</v>
      </c>
      <c r="N876" t="b">
        <f t="shared" si="126"/>
        <v>0</v>
      </c>
      <c r="O876" t="b">
        <f t="shared" si="120"/>
        <v>0</v>
      </c>
      <c r="P876" t="b">
        <f t="shared" si="121"/>
        <v>0</v>
      </c>
      <c r="Q876" t="b">
        <f t="shared" si="122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24"/>
        <v>OCEANIA_NO_REGION</v>
      </c>
      <c r="I877" t="b">
        <f t="shared" si="125"/>
        <v>0</v>
      </c>
      <c r="J877" t="b">
        <f t="shared" si="123"/>
        <v>0</v>
      </c>
      <c r="K877" t="b">
        <f t="shared" si="117"/>
        <v>0</v>
      </c>
      <c r="L877" t="b">
        <f t="shared" si="118"/>
        <v>0</v>
      </c>
      <c r="M877" t="b">
        <f t="shared" si="126"/>
        <v>0</v>
      </c>
      <c r="N877" t="b">
        <f t="shared" si="126"/>
        <v>0</v>
      </c>
      <c r="O877" t="b">
        <f t="shared" si="120"/>
        <v>0</v>
      </c>
      <c r="P877" t="b">
        <f t="shared" si="121"/>
        <v>0</v>
      </c>
      <c r="Q877" t="b">
        <f t="shared" si="122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24"/>
        <v>OCEANIA_NO_REGION</v>
      </c>
      <c r="I878" t="b">
        <f t="shared" si="125"/>
        <v>0</v>
      </c>
      <c r="J878" t="b">
        <f t="shared" si="123"/>
        <v>0</v>
      </c>
      <c r="K878" t="b">
        <f t="shared" si="117"/>
        <v>0</v>
      </c>
      <c r="L878" t="b">
        <f t="shared" si="118"/>
        <v>0</v>
      </c>
      <c r="M878" t="b">
        <f t="shared" si="126"/>
        <v>0</v>
      </c>
      <c r="N878" t="b">
        <f t="shared" si="126"/>
        <v>0</v>
      </c>
      <c r="O878" t="b">
        <f t="shared" si="120"/>
        <v>0</v>
      </c>
      <c r="P878" t="b">
        <f t="shared" si="121"/>
        <v>0</v>
      </c>
      <c r="Q878" t="b">
        <f t="shared" si="122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24"/>
        <v>OCEANIA_NO_REGION</v>
      </c>
      <c r="I879" t="b">
        <f t="shared" si="125"/>
        <v>0</v>
      </c>
      <c r="J879" t="b">
        <f t="shared" si="123"/>
        <v>0</v>
      </c>
      <c r="K879" t="b">
        <f t="shared" si="117"/>
        <v>0</v>
      </c>
      <c r="L879" t="b">
        <f t="shared" si="118"/>
        <v>0</v>
      </c>
      <c r="M879" t="b">
        <f t="shared" si="126"/>
        <v>0</v>
      </c>
      <c r="N879" t="b">
        <f t="shared" si="126"/>
        <v>0</v>
      </c>
      <c r="O879" t="b">
        <f t="shared" si="120"/>
        <v>0</v>
      </c>
      <c r="P879" t="b">
        <f t="shared" si="121"/>
        <v>0</v>
      </c>
      <c r="Q879" t="b">
        <f t="shared" si="122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24"/>
        <v>OCEANIA_NO_REGION</v>
      </c>
      <c r="I880" t="b">
        <f t="shared" si="125"/>
        <v>0</v>
      </c>
      <c r="J880" t="b">
        <f t="shared" si="123"/>
        <v>0</v>
      </c>
      <c r="K880" t="b">
        <f t="shared" si="117"/>
        <v>0</v>
      </c>
      <c r="L880" t="b">
        <f t="shared" si="118"/>
        <v>0</v>
      </c>
      <c r="M880" t="b">
        <f t="shared" si="126"/>
        <v>0</v>
      </c>
      <c r="N880" t="b">
        <f t="shared" si="126"/>
        <v>0</v>
      </c>
      <c r="O880" t="b">
        <f t="shared" si="120"/>
        <v>0</v>
      </c>
      <c r="P880" t="b">
        <f t="shared" si="121"/>
        <v>0</v>
      </c>
      <c r="Q880" t="b">
        <f t="shared" si="122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24"/>
        <v>SOUTH_AMERICA_NO_REGION</v>
      </c>
      <c r="I881" t="b">
        <f t="shared" si="125"/>
        <v>0</v>
      </c>
      <c r="J881" t="b">
        <f t="shared" si="123"/>
        <v>0</v>
      </c>
      <c r="K881" t="b">
        <f t="shared" si="117"/>
        <v>0</v>
      </c>
      <c r="L881" t="b">
        <f t="shared" si="118"/>
        <v>0</v>
      </c>
      <c r="M881" t="b">
        <f t="shared" si="126"/>
        <v>0</v>
      </c>
      <c r="N881" t="b">
        <f t="shared" si="126"/>
        <v>0</v>
      </c>
      <c r="O881" t="b">
        <f t="shared" si="120"/>
        <v>0</v>
      </c>
      <c r="P881" t="b">
        <f t="shared" si="121"/>
        <v>1</v>
      </c>
      <c r="Q881" t="b">
        <f t="shared" si="122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24"/>
        <v>SOUTH_AMERICA_NO_REGION</v>
      </c>
      <c r="I882" t="b">
        <f t="shared" si="125"/>
        <v>0</v>
      </c>
      <c r="J882" t="b">
        <f t="shared" si="123"/>
        <v>0</v>
      </c>
      <c r="K882" t="b">
        <f t="shared" si="117"/>
        <v>0</v>
      </c>
      <c r="L882" t="b">
        <f t="shared" si="118"/>
        <v>0</v>
      </c>
      <c r="M882" t="b">
        <f t="shared" si="126"/>
        <v>0</v>
      </c>
      <c r="N882" t="b">
        <f t="shared" si="126"/>
        <v>0</v>
      </c>
      <c r="O882" t="b">
        <f t="shared" si="120"/>
        <v>0</v>
      </c>
      <c r="P882" t="b">
        <f t="shared" si="121"/>
        <v>1</v>
      </c>
      <c r="Q882" t="b">
        <f t="shared" si="122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24"/>
        <v>SOUTH_AMERICA_NO_REGION</v>
      </c>
      <c r="I883" t="b">
        <f t="shared" si="125"/>
        <v>0</v>
      </c>
      <c r="J883" t="b">
        <f t="shared" si="123"/>
        <v>0</v>
      </c>
      <c r="K883" t="b">
        <f t="shared" si="117"/>
        <v>0</v>
      </c>
      <c r="L883" t="b">
        <f t="shared" si="118"/>
        <v>0</v>
      </c>
      <c r="M883" t="b">
        <f t="shared" si="126"/>
        <v>0</v>
      </c>
      <c r="N883" t="b">
        <f t="shared" si="126"/>
        <v>0</v>
      </c>
      <c r="O883" t="b">
        <f t="shared" si="120"/>
        <v>0</v>
      </c>
      <c r="P883" t="b">
        <f t="shared" si="121"/>
        <v>1</v>
      </c>
      <c r="Q883" t="b">
        <f t="shared" si="122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24"/>
        <v>SOUTH_AMERICA_NO_REGION</v>
      </c>
      <c r="I884" t="b">
        <f t="shared" si="125"/>
        <v>0</v>
      </c>
      <c r="J884" t="b">
        <f t="shared" si="123"/>
        <v>0</v>
      </c>
      <c r="K884" t="b">
        <f t="shared" si="117"/>
        <v>0</v>
      </c>
      <c r="L884" t="b">
        <f t="shared" si="118"/>
        <v>0</v>
      </c>
      <c r="M884" t="b">
        <f t="shared" si="126"/>
        <v>0</v>
      </c>
      <c r="N884" t="b">
        <f t="shared" si="126"/>
        <v>0</v>
      </c>
      <c r="O884" t="b">
        <f t="shared" si="120"/>
        <v>0</v>
      </c>
      <c r="P884" t="b">
        <f t="shared" si="121"/>
        <v>1</v>
      </c>
      <c r="Q884" t="b">
        <f t="shared" si="122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24"/>
        <v>SOUTH_AMERICA_NO_REGION</v>
      </c>
      <c r="I885" t="b">
        <f t="shared" si="125"/>
        <v>0</v>
      </c>
      <c r="J885" t="b">
        <f t="shared" si="123"/>
        <v>0</v>
      </c>
      <c r="K885" t="b">
        <f t="shared" si="117"/>
        <v>0</v>
      </c>
      <c r="L885" t="b">
        <f t="shared" si="118"/>
        <v>0</v>
      </c>
      <c r="M885" t="b">
        <f t="shared" si="126"/>
        <v>0</v>
      </c>
      <c r="N885" t="b">
        <f t="shared" si="126"/>
        <v>0</v>
      </c>
      <c r="O885" t="b">
        <f t="shared" si="120"/>
        <v>0</v>
      </c>
      <c r="P885" t="b">
        <f t="shared" si="121"/>
        <v>1</v>
      </c>
      <c r="Q885" t="b">
        <f t="shared" si="122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24"/>
        <v>SOUTH_AMERICA_NO_REGION</v>
      </c>
      <c r="I886" t="b">
        <f t="shared" si="125"/>
        <v>0</v>
      </c>
      <c r="J886" t="b">
        <f t="shared" si="123"/>
        <v>0</v>
      </c>
      <c r="K886" t="b">
        <f t="shared" si="117"/>
        <v>0</v>
      </c>
      <c r="L886" t="b">
        <f t="shared" si="118"/>
        <v>0</v>
      </c>
      <c r="M886" t="b">
        <f t="shared" si="126"/>
        <v>0</v>
      </c>
      <c r="N886" t="b">
        <f t="shared" si="126"/>
        <v>0</v>
      </c>
      <c r="O886" t="b">
        <f t="shared" si="120"/>
        <v>0</v>
      </c>
      <c r="P886" t="b">
        <f t="shared" si="121"/>
        <v>1</v>
      </c>
      <c r="Q886" t="b">
        <f t="shared" si="122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24"/>
        <v>SOUTH_AMERICA_NO_REGION</v>
      </c>
      <c r="I887" t="b">
        <f t="shared" si="125"/>
        <v>0</v>
      </c>
      <c r="J887" t="b">
        <f t="shared" si="123"/>
        <v>0</v>
      </c>
      <c r="K887" t="b">
        <f t="shared" si="117"/>
        <v>0</v>
      </c>
      <c r="L887" t="b">
        <f t="shared" si="118"/>
        <v>0</v>
      </c>
      <c r="M887" t="b">
        <f t="shared" si="126"/>
        <v>0</v>
      </c>
      <c r="N887" t="b">
        <f t="shared" si="126"/>
        <v>0</v>
      </c>
      <c r="O887" t="b">
        <f t="shared" si="120"/>
        <v>0</v>
      </c>
      <c r="P887" t="b">
        <f t="shared" si="121"/>
        <v>1</v>
      </c>
      <c r="Q887" t="b">
        <f t="shared" si="122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24"/>
        <v>SOUTH_AMERICA_NO_REGION</v>
      </c>
      <c r="I888" t="b">
        <f t="shared" si="125"/>
        <v>0</v>
      </c>
      <c r="J888" t="b">
        <f t="shared" si="123"/>
        <v>0</v>
      </c>
      <c r="K888" t="b">
        <f t="shared" si="117"/>
        <v>0</v>
      </c>
      <c r="L888" t="b">
        <f t="shared" si="118"/>
        <v>0</v>
      </c>
      <c r="M888" t="b">
        <f t="shared" si="126"/>
        <v>0</v>
      </c>
      <c r="N888" t="b">
        <f t="shared" si="126"/>
        <v>0</v>
      </c>
      <c r="O888" t="b">
        <f t="shared" si="120"/>
        <v>0</v>
      </c>
      <c r="P888" t="b">
        <f t="shared" si="121"/>
        <v>1</v>
      </c>
      <c r="Q888" t="b">
        <f t="shared" si="122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REGIONTYPE4</v>
      </c>
      <c r="H889" s="31" t="str">
        <f t="shared" si="124"/>
        <v>ALL_AMERICA_REGIONTYPE4</v>
      </c>
      <c r="I889" t="b">
        <f t="shared" si="125"/>
        <v>0</v>
      </c>
      <c r="J889" t="b">
        <f t="shared" si="123"/>
        <v>1</v>
      </c>
      <c r="K889" t="b">
        <f t="shared" si="117"/>
        <v>0</v>
      </c>
      <c r="L889" t="b">
        <f t="shared" si="118"/>
        <v>1</v>
      </c>
      <c r="M889" t="b">
        <f t="shared" si="126"/>
        <v>0</v>
      </c>
      <c r="N889" t="b">
        <f t="shared" si="126"/>
        <v>0</v>
      </c>
      <c r="O889" t="b">
        <f t="shared" si="120"/>
        <v>1</v>
      </c>
      <c r="P889" t="b">
        <f t="shared" si="121"/>
        <v>1</v>
      </c>
      <c r="Q889" t="b">
        <f t="shared" si="122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24"/>
        <v>SOUTH_AMERICA_NO_REGION</v>
      </c>
      <c r="I890" t="b">
        <f t="shared" si="125"/>
        <v>0</v>
      </c>
      <c r="J890" t="b">
        <f t="shared" si="123"/>
        <v>0</v>
      </c>
      <c r="K890" t="b">
        <f t="shared" si="117"/>
        <v>0</v>
      </c>
      <c r="L890" t="b">
        <f t="shared" si="118"/>
        <v>0</v>
      </c>
      <c r="M890" t="b">
        <f t="shared" si="126"/>
        <v>0</v>
      </c>
      <c r="N890" t="b">
        <f t="shared" si="126"/>
        <v>0</v>
      </c>
      <c r="O890" t="b">
        <f t="shared" si="120"/>
        <v>0</v>
      </c>
      <c r="P890" t="b">
        <f t="shared" si="121"/>
        <v>1</v>
      </c>
      <c r="Q890" t="b">
        <f t="shared" si="122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24"/>
        <v>NORTH_AMERICA_NO_REGION</v>
      </c>
      <c r="I891" t="b">
        <f t="shared" si="125"/>
        <v>0</v>
      </c>
      <c r="J891" t="b">
        <f t="shared" si="123"/>
        <v>0</v>
      </c>
      <c r="K891" t="b">
        <f t="shared" si="117"/>
        <v>0</v>
      </c>
      <c r="L891" t="b">
        <f t="shared" si="118"/>
        <v>0</v>
      </c>
      <c r="M891" t="b">
        <f t="shared" si="126"/>
        <v>0</v>
      </c>
      <c r="N891" t="b">
        <f t="shared" si="126"/>
        <v>0</v>
      </c>
      <c r="O891" t="b">
        <f t="shared" si="120"/>
        <v>1</v>
      </c>
      <c r="P891" t="b">
        <f t="shared" si="121"/>
        <v>0</v>
      </c>
      <c r="Q891" t="b">
        <f t="shared" si="122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24"/>
        <v>SOUTH_AMERICA_NO_REGION</v>
      </c>
      <c r="I892" t="b">
        <f t="shared" si="125"/>
        <v>0</v>
      </c>
      <c r="J892" t="b">
        <f t="shared" si="123"/>
        <v>0</v>
      </c>
      <c r="K892" t="b">
        <f t="shared" si="117"/>
        <v>0</v>
      </c>
      <c r="L892" t="b">
        <f t="shared" si="118"/>
        <v>0</v>
      </c>
      <c r="M892" t="b">
        <f t="shared" si="126"/>
        <v>0</v>
      </c>
      <c r="N892" t="b">
        <f t="shared" si="126"/>
        <v>0</v>
      </c>
      <c r="O892" t="b">
        <f t="shared" si="120"/>
        <v>0</v>
      </c>
      <c r="P892" t="b">
        <f t="shared" si="121"/>
        <v>1</v>
      </c>
      <c r="Q892" t="b">
        <f t="shared" si="122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24"/>
        <v>SOUTH_AMERICA_NO_REGION</v>
      </c>
      <c r="I893" t="b">
        <f t="shared" si="125"/>
        <v>0</v>
      </c>
      <c r="J893" t="b">
        <f t="shared" si="123"/>
        <v>0</v>
      </c>
      <c r="K893" t="b">
        <f t="shared" si="117"/>
        <v>0</v>
      </c>
      <c r="L893" t="b">
        <f t="shared" si="118"/>
        <v>0</v>
      </c>
      <c r="M893" t="b">
        <f t="shared" si="126"/>
        <v>0</v>
      </c>
      <c r="N893" t="b">
        <f t="shared" si="126"/>
        <v>0</v>
      </c>
      <c r="O893" t="b">
        <f t="shared" si="120"/>
        <v>0</v>
      </c>
      <c r="P893" t="b">
        <f t="shared" si="121"/>
        <v>1</v>
      </c>
      <c r="Q893" t="b">
        <f t="shared" si="122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24"/>
        <v>SOUTH_AMERICA_NO_REGION</v>
      </c>
      <c r="I894" t="b">
        <f t="shared" si="125"/>
        <v>0</v>
      </c>
      <c r="J894" t="b">
        <f t="shared" si="123"/>
        <v>0</v>
      </c>
      <c r="K894" t="b">
        <f t="shared" si="117"/>
        <v>0</v>
      </c>
      <c r="L894" t="b">
        <f t="shared" si="118"/>
        <v>0</v>
      </c>
      <c r="M894" t="b">
        <f t="shared" si="126"/>
        <v>0</v>
      </c>
      <c r="N894" t="b">
        <f t="shared" si="126"/>
        <v>0</v>
      </c>
      <c r="O894" t="b">
        <f t="shared" si="120"/>
        <v>0</v>
      </c>
      <c r="P894" t="b">
        <f t="shared" si="121"/>
        <v>1</v>
      </c>
      <c r="Q894" t="b">
        <f t="shared" si="122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24"/>
        <v>SOUTH_AMERICA_NO_REGION</v>
      </c>
      <c r="I895" t="b">
        <f t="shared" si="125"/>
        <v>0</v>
      </c>
      <c r="J895" t="b">
        <f t="shared" si="123"/>
        <v>0</v>
      </c>
      <c r="K895" t="b">
        <f t="shared" si="117"/>
        <v>0</v>
      </c>
      <c r="L895" t="b">
        <f t="shared" si="118"/>
        <v>0</v>
      </c>
      <c r="M895" t="b">
        <f t="shared" si="126"/>
        <v>0</v>
      </c>
      <c r="N895" t="b">
        <f t="shared" si="126"/>
        <v>0</v>
      </c>
      <c r="O895" t="b">
        <f t="shared" si="120"/>
        <v>0</v>
      </c>
      <c r="P895" t="b">
        <f t="shared" si="121"/>
        <v>1</v>
      </c>
      <c r="Q895" t="b">
        <f t="shared" si="122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24"/>
        <v>OCEANIA_NO_REGION</v>
      </c>
      <c r="I896" t="b">
        <f t="shared" si="125"/>
        <v>0</v>
      </c>
      <c r="J896" t="b">
        <f t="shared" si="123"/>
        <v>0</v>
      </c>
      <c r="K896" t="b">
        <f t="shared" si="117"/>
        <v>0</v>
      </c>
      <c r="L896" t="b">
        <f t="shared" si="118"/>
        <v>0</v>
      </c>
      <c r="M896" t="b">
        <f t="shared" si="126"/>
        <v>0</v>
      </c>
      <c r="N896" t="b">
        <f t="shared" si="126"/>
        <v>0</v>
      </c>
      <c r="O896" t="b">
        <f t="shared" si="120"/>
        <v>0</v>
      </c>
      <c r="P896" t="b">
        <f t="shared" si="121"/>
        <v>0</v>
      </c>
      <c r="Q896" t="b">
        <f t="shared" si="122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24"/>
        <v>OCEANIA_NO_REGION</v>
      </c>
      <c r="I897" t="b">
        <f t="shared" si="125"/>
        <v>0</v>
      </c>
      <c r="J897" t="b">
        <f t="shared" si="123"/>
        <v>0</v>
      </c>
      <c r="K897" t="b">
        <f t="shared" si="117"/>
        <v>0</v>
      </c>
      <c r="L897" t="b">
        <f t="shared" si="118"/>
        <v>0</v>
      </c>
      <c r="M897" t="b">
        <f t="shared" si="126"/>
        <v>0</v>
      </c>
      <c r="N897" t="b">
        <f t="shared" si="126"/>
        <v>0</v>
      </c>
      <c r="O897" t="b">
        <f t="shared" si="120"/>
        <v>0</v>
      </c>
      <c r="P897" t="b">
        <f t="shared" si="121"/>
        <v>0</v>
      </c>
      <c r="Q897" t="b">
        <f t="shared" si="122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24"/>
        <v>ASIA_NO_REGION</v>
      </c>
      <c r="I898" t="b">
        <f t="shared" si="125"/>
        <v>0</v>
      </c>
      <c r="J898" t="b">
        <f t="shared" si="123"/>
        <v>1</v>
      </c>
      <c r="K898" t="b">
        <f t="shared" si="117"/>
        <v>0</v>
      </c>
      <c r="L898" t="b">
        <f t="shared" si="118"/>
        <v>0</v>
      </c>
      <c r="M898" t="b">
        <f t="shared" si="126"/>
        <v>0</v>
      </c>
      <c r="N898" t="b">
        <f t="shared" si="126"/>
        <v>0</v>
      </c>
      <c r="O898" t="b">
        <f t="shared" si="120"/>
        <v>0</v>
      </c>
      <c r="P898" t="b">
        <f t="shared" si="121"/>
        <v>0</v>
      </c>
      <c r="Q898" t="b">
        <f t="shared" si="122"/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24"/>
        <v>OCEANIA_NO_REGION</v>
      </c>
      <c r="I899" t="b">
        <f t="shared" si="125"/>
        <v>0</v>
      </c>
      <c r="J899" t="b">
        <f t="shared" si="123"/>
        <v>0</v>
      </c>
      <c r="K899" t="b">
        <f t="shared" ref="K899:K962" si="127">OR(ISNUMBER(SEARCH("ALL_REGION",$H899)),
ISNUMBER(SEARCH("ALL_EUROPE",$H899)),
ISNUMBER(SEARCH(K$1,$H899)),
ISNUMBER(SEARCH("REGIONTYPE1",$H899)))</f>
        <v>0</v>
      </c>
      <c r="L899" t="b">
        <f t="shared" ref="L899:L962" si="128">OR(ISNUMBER(SEARCH("ALL_REGION",$H899)),
ISNUMBER(SEARCH("ALL_EUROPE",$H899)),
ISNUMBER(SEARCH(L$1,$H899)),
ISNUMBER(SEARCH("REGIONTYPE1",$H899)),
ISNUMBER(SEARCH("REGIONTYPE4",$H899)),
ISNUMBER(SEARCH("REGIONTYPE5",$H899)))</f>
        <v>0</v>
      </c>
      <c r="M899" t="b">
        <f t="shared" ref="M899:N930" si="129">OR(ISNUMBER(SEARCH("ALL_REGION",$H899)),
ISNUMBER(SEARCH("ALL_EUROPE",$H899)),
ISNUMBER(SEARCH(M$1,$H899)),
ISNUMBER(SEARCH("REGIONTYPE1",$H899)),
ISNUMBER(SEARCH("REGIONTYPE6",$H899)))</f>
        <v>0</v>
      </c>
      <c r="N899" t="b">
        <f t="shared" si="129"/>
        <v>0</v>
      </c>
      <c r="O899" t="b">
        <f t="shared" ref="O899:O962" si="130">OR(ISNUMBER(SEARCH("ALL_REGION",$H899)),
ISNUMBER(SEARCH("ALL_AMERICA",$H899)),
ISNUMBER(SEARCH(O$1,$H899)),
ISNUMBER(SEARCH("REGIONTYPE2",$H899)))</f>
        <v>0</v>
      </c>
      <c r="P899" t="b">
        <f t="shared" ref="P899:P962" si="131">OR(ISNUMBER(SEARCH("ALL_REGION",$H899)),
ISNUMBER(SEARCH("ALL_AMERICA",$H899)),
ISNUMBER(SEARCH(P$1,$H899)),
ISNUMBER(SEARCH("REGIONTYPE2",$H899)),
ISNUMBER(SEARCH("REGIONTYPE5",$H899)))</f>
        <v>0</v>
      </c>
      <c r="Q899" t="b">
        <f t="shared" ref="Q899:Q962" si="132">OR(ISNUMBER(SEARCH("ALL_REGION",$H899)),
ISNUMBER(SEARCH(Q$1,$H899)),
ISNUMBER(SEARCH("REGIONTYPE3",$H899)))</f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24"/>
        <v>OCEANIA_NO_REGION</v>
      </c>
      <c r="I900" t="b">
        <f t="shared" si="125"/>
        <v>0</v>
      </c>
      <c r="J900" t="b">
        <f t="shared" ref="J900:J963" si="133">OR(ISNUMBER(SEARCH("ALL_REGION",$H900)),
ISNUMBER(SEARCH("ASIA",$H900)),
ISNUMBER(SEARCH("REGIONTYPE1",$H900)),
ISNUMBER(SEARCH("REGIONTYPE2",$H900)),
ISNUMBER(SEARCH("REGIONTYPE3",$H900)),
ISNUMBER(SEARCH("REGIONTYPE4",$H900)))</f>
        <v>0</v>
      </c>
      <c r="K900" t="b">
        <f t="shared" si="127"/>
        <v>0</v>
      </c>
      <c r="L900" t="b">
        <f t="shared" si="128"/>
        <v>0</v>
      </c>
      <c r="M900" t="b">
        <f t="shared" si="129"/>
        <v>0</v>
      </c>
      <c r="N900" t="b">
        <f t="shared" si="129"/>
        <v>0</v>
      </c>
      <c r="O900" t="b">
        <f t="shared" si="130"/>
        <v>0</v>
      </c>
      <c r="P900" t="b">
        <f t="shared" si="131"/>
        <v>0</v>
      </c>
      <c r="Q900" t="b">
        <f t="shared" si="132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24"/>
        <v>OCEANIA_NO_REGION</v>
      </c>
      <c r="I901" t="b">
        <f t="shared" si="125"/>
        <v>0</v>
      </c>
      <c r="J901" t="b">
        <f t="shared" si="133"/>
        <v>0</v>
      </c>
      <c r="K901" t="b">
        <f t="shared" si="127"/>
        <v>0</v>
      </c>
      <c r="L901" t="b">
        <f t="shared" si="128"/>
        <v>0</v>
      </c>
      <c r="M901" t="b">
        <f t="shared" si="129"/>
        <v>0</v>
      </c>
      <c r="N901" t="b">
        <f t="shared" si="129"/>
        <v>0</v>
      </c>
      <c r="O901" t="b">
        <f t="shared" si="130"/>
        <v>0</v>
      </c>
      <c r="P901" t="b">
        <f t="shared" si="131"/>
        <v>0</v>
      </c>
      <c r="Q901" t="b">
        <f t="shared" si="132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24"/>
        <v>OCEANIA_NO_REGION</v>
      </c>
      <c r="I902" t="b">
        <f t="shared" si="125"/>
        <v>0</v>
      </c>
      <c r="J902" t="b">
        <f t="shared" si="133"/>
        <v>0</v>
      </c>
      <c r="K902" t="b">
        <f t="shared" si="127"/>
        <v>0</v>
      </c>
      <c r="L902" t="b">
        <f t="shared" si="128"/>
        <v>0</v>
      </c>
      <c r="M902" t="b">
        <f t="shared" si="129"/>
        <v>0</v>
      </c>
      <c r="N902" t="b">
        <f t="shared" si="129"/>
        <v>0</v>
      </c>
      <c r="O902" t="b">
        <f t="shared" si="130"/>
        <v>0</v>
      </c>
      <c r="P902" t="b">
        <f t="shared" si="131"/>
        <v>0</v>
      </c>
      <c r="Q902" t="b">
        <f t="shared" si="132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24"/>
        <v>OCEANIA_NO_REGION</v>
      </c>
      <c r="I903" t="b">
        <f t="shared" si="125"/>
        <v>0</v>
      </c>
      <c r="J903" t="b">
        <f t="shared" si="133"/>
        <v>0</v>
      </c>
      <c r="K903" t="b">
        <f t="shared" si="127"/>
        <v>0</v>
      </c>
      <c r="L903" t="b">
        <f t="shared" si="128"/>
        <v>0</v>
      </c>
      <c r="M903" t="b">
        <f t="shared" si="129"/>
        <v>0</v>
      </c>
      <c r="N903" t="b">
        <f t="shared" si="129"/>
        <v>0</v>
      </c>
      <c r="O903" t="b">
        <f t="shared" si="130"/>
        <v>0</v>
      </c>
      <c r="P903" t="b">
        <f t="shared" si="131"/>
        <v>0</v>
      </c>
      <c r="Q903" t="b">
        <f t="shared" si="132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24"/>
        <v>OCEANIA_NO_REGION</v>
      </c>
      <c r="I904" t="b">
        <f t="shared" si="125"/>
        <v>0</v>
      </c>
      <c r="J904" t="b">
        <f t="shared" si="133"/>
        <v>0</v>
      </c>
      <c r="K904" t="b">
        <f t="shared" si="127"/>
        <v>0</v>
      </c>
      <c r="L904" t="b">
        <f t="shared" si="128"/>
        <v>0</v>
      </c>
      <c r="M904" t="b">
        <f t="shared" si="129"/>
        <v>0</v>
      </c>
      <c r="N904" t="b">
        <f t="shared" si="129"/>
        <v>0</v>
      </c>
      <c r="O904" t="b">
        <f t="shared" si="130"/>
        <v>0</v>
      </c>
      <c r="P904" t="b">
        <f t="shared" si="131"/>
        <v>0</v>
      </c>
      <c r="Q904" t="b">
        <f t="shared" si="132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24"/>
        <v>OCEANIA_NO_REGION</v>
      </c>
      <c r="I905" t="b">
        <f t="shared" si="125"/>
        <v>0</v>
      </c>
      <c r="J905" t="b">
        <f t="shared" si="133"/>
        <v>0</v>
      </c>
      <c r="K905" t="b">
        <f t="shared" si="127"/>
        <v>0</v>
      </c>
      <c r="L905" t="b">
        <f t="shared" si="128"/>
        <v>0</v>
      </c>
      <c r="M905" t="b">
        <f t="shared" si="129"/>
        <v>0</v>
      </c>
      <c r="N905" t="b">
        <f t="shared" si="129"/>
        <v>0</v>
      </c>
      <c r="O905" t="b">
        <f t="shared" si="130"/>
        <v>0</v>
      </c>
      <c r="P905" t="b">
        <f t="shared" si="131"/>
        <v>0</v>
      </c>
      <c r="Q905" t="b">
        <f t="shared" si="132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24"/>
        <v>OCEANIA_NO_REGION</v>
      </c>
      <c r="I906" t="b">
        <f t="shared" si="125"/>
        <v>0</v>
      </c>
      <c r="J906" t="b">
        <f t="shared" si="133"/>
        <v>0</v>
      </c>
      <c r="K906" t="b">
        <f t="shared" si="127"/>
        <v>0</v>
      </c>
      <c r="L906" t="b">
        <f t="shared" si="128"/>
        <v>0</v>
      </c>
      <c r="M906" t="b">
        <f t="shared" si="129"/>
        <v>0</v>
      </c>
      <c r="N906" t="b">
        <f t="shared" si="129"/>
        <v>0</v>
      </c>
      <c r="O906" t="b">
        <f t="shared" si="130"/>
        <v>0</v>
      </c>
      <c r="P906" t="b">
        <f t="shared" si="131"/>
        <v>0</v>
      </c>
      <c r="Q906" t="b">
        <f t="shared" si="132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24"/>
        <v>OCEANIA_NO_REGION</v>
      </c>
      <c r="I907" t="b">
        <f t="shared" si="125"/>
        <v>0</v>
      </c>
      <c r="J907" t="b">
        <f t="shared" si="133"/>
        <v>0</v>
      </c>
      <c r="K907" t="b">
        <f t="shared" si="127"/>
        <v>0</v>
      </c>
      <c r="L907" t="b">
        <f t="shared" si="128"/>
        <v>0</v>
      </c>
      <c r="M907" t="b">
        <f t="shared" si="129"/>
        <v>0</v>
      </c>
      <c r="N907" t="b">
        <f t="shared" si="129"/>
        <v>0</v>
      </c>
      <c r="O907" t="b">
        <f t="shared" si="130"/>
        <v>0</v>
      </c>
      <c r="P907" t="b">
        <f t="shared" si="131"/>
        <v>0</v>
      </c>
      <c r="Q907" t="b">
        <f t="shared" si="132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24"/>
        <v>OCEANIA_NO_REGION</v>
      </c>
      <c r="I908" t="b">
        <f t="shared" si="125"/>
        <v>0</v>
      </c>
      <c r="J908" t="b">
        <f t="shared" si="133"/>
        <v>0</v>
      </c>
      <c r="K908" t="b">
        <f t="shared" si="127"/>
        <v>0</v>
      </c>
      <c r="L908" t="b">
        <f t="shared" si="128"/>
        <v>0</v>
      </c>
      <c r="M908" t="b">
        <f t="shared" si="129"/>
        <v>0</v>
      </c>
      <c r="N908" t="b">
        <f t="shared" si="129"/>
        <v>0</v>
      </c>
      <c r="O908" t="b">
        <f t="shared" si="130"/>
        <v>0</v>
      </c>
      <c r="P908" t="b">
        <f t="shared" si="131"/>
        <v>0</v>
      </c>
      <c r="Q908" t="b">
        <f t="shared" si="132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24"/>
        <v>OCEANIA_NO_REGION</v>
      </c>
      <c r="I909" t="b">
        <f t="shared" si="125"/>
        <v>0</v>
      </c>
      <c r="J909" t="b">
        <f t="shared" si="133"/>
        <v>0</v>
      </c>
      <c r="K909" t="b">
        <f t="shared" si="127"/>
        <v>0</v>
      </c>
      <c r="L909" t="b">
        <f t="shared" si="128"/>
        <v>0</v>
      </c>
      <c r="M909" t="b">
        <f t="shared" si="129"/>
        <v>0</v>
      </c>
      <c r="N909" t="b">
        <f t="shared" si="129"/>
        <v>0</v>
      </c>
      <c r="O909" t="b">
        <f t="shared" si="130"/>
        <v>0</v>
      </c>
      <c r="P909" t="b">
        <f t="shared" si="131"/>
        <v>0</v>
      </c>
      <c r="Q909" t="b">
        <f t="shared" si="132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24"/>
        <v>OCEANIA_ALL_AMERICA</v>
      </c>
      <c r="I910" t="b">
        <f t="shared" si="125"/>
        <v>0</v>
      </c>
      <c r="J910" t="b">
        <f t="shared" si="133"/>
        <v>0</v>
      </c>
      <c r="K910" t="b">
        <f t="shared" si="127"/>
        <v>0</v>
      </c>
      <c r="L910" t="b">
        <f t="shared" si="128"/>
        <v>0</v>
      </c>
      <c r="M910" t="b">
        <f t="shared" si="129"/>
        <v>0</v>
      </c>
      <c r="N910" t="b">
        <f t="shared" si="129"/>
        <v>0</v>
      </c>
      <c r="O910" t="b">
        <f t="shared" si="130"/>
        <v>1</v>
      </c>
      <c r="P910" t="b">
        <f t="shared" si="131"/>
        <v>1</v>
      </c>
      <c r="Q910" t="b">
        <f t="shared" si="132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24"/>
        <v>OCEANIA_ALL_AMERICA</v>
      </c>
      <c r="I911" t="b">
        <f t="shared" si="125"/>
        <v>0</v>
      </c>
      <c r="J911" t="b">
        <f t="shared" si="133"/>
        <v>0</v>
      </c>
      <c r="K911" t="b">
        <f t="shared" si="127"/>
        <v>0</v>
      </c>
      <c r="L911" t="b">
        <f t="shared" si="128"/>
        <v>0</v>
      </c>
      <c r="M911" t="b">
        <f t="shared" si="129"/>
        <v>0</v>
      </c>
      <c r="N911" t="b">
        <f t="shared" si="129"/>
        <v>0</v>
      </c>
      <c r="O911" t="b">
        <f t="shared" si="130"/>
        <v>1</v>
      </c>
      <c r="P911" t="b">
        <f t="shared" si="131"/>
        <v>1</v>
      </c>
      <c r="Q911" t="b">
        <f t="shared" si="132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24"/>
        <v>OCEANIA_NO_REGION</v>
      </c>
      <c r="I912" t="b">
        <f t="shared" si="125"/>
        <v>0</v>
      </c>
      <c r="J912" t="b">
        <f t="shared" si="133"/>
        <v>0</v>
      </c>
      <c r="K912" t="b">
        <f t="shared" si="127"/>
        <v>0</v>
      </c>
      <c r="L912" t="b">
        <f t="shared" si="128"/>
        <v>0</v>
      </c>
      <c r="M912" t="b">
        <f t="shared" si="129"/>
        <v>0</v>
      </c>
      <c r="N912" t="b">
        <f t="shared" si="129"/>
        <v>0</v>
      </c>
      <c r="O912" t="b">
        <f t="shared" si="130"/>
        <v>0</v>
      </c>
      <c r="P912" t="b">
        <f t="shared" si="131"/>
        <v>0</v>
      </c>
      <c r="Q912" t="b">
        <f t="shared" si="132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24"/>
        <v>OCEANIA_NO_REGION</v>
      </c>
      <c r="I913" t="b">
        <f t="shared" si="125"/>
        <v>0</v>
      </c>
      <c r="J913" t="b">
        <f t="shared" si="133"/>
        <v>0</v>
      </c>
      <c r="K913" t="b">
        <f t="shared" si="127"/>
        <v>0</v>
      </c>
      <c r="L913" t="b">
        <f t="shared" si="128"/>
        <v>0</v>
      </c>
      <c r="M913" t="b">
        <f t="shared" si="129"/>
        <v>0</v>
      </c>
      <c r="N913" t="b">
        <f t="shared" si="129"/>
        <v>0</v>
      </c>
      <c r="O913" t="b">
        <f t="shared" si="130"/>
        <v>0</v>
      </c>
      <c r="P913" t="b">
        <f t="shared" si="131"/>
        <v>0</v>
      </c>
      <c r="Q913" t="b">
        <f t="shared" si="132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24"/>
        <v>OCEANIA_NO_REGION</v>
      </c>
      <c r="I914" t="b">
        <f t="shared" si="125"/>
        <v>0</v>
      </c>
      <c r="J914" t="b">
        <f t="shared" si="133"/>
        <v>0</v>
      </c>
      <c r="K914" t="b">
        <f t="shared" si="127"/>
        <v>0</v>
      </c>
      <c r="L914" t="b">
        <f t="shared" si="128"/>
        <v>0</v>
      </c>
      <c r="M914" t="b">
        <f t="shared" si="129"/>
        <v>0</v>
      </c>
      <c r="N914" t="b">
        <f t="shared" si="129"/>
        <v>0</v>
      </c>
      <c r="O914" t="b">
        <f t="shared" si="130"/>
        <v>0</v>
      </c>
      <c r="P914" t="b">
        <f t="shared" si="131"/>
        <v>0</v>
      </c>
      <c r="Q914" t="b">
        <f t="shared" si="132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24"/>
        <v>OCEANIA_NO_REGION</v>
      </c>
      <c r="I915" t="b">
        <f t="shared" si="125"/>
        <v>0</v>
      </c>
      <c r="J915" t="b">
        <f t="shared" si="133"/>
        <v>0</v>
      </c>
      <c r="K915" t="b">
        <f t="shared" si="127"/>
        <v>0</v>
      </c>
      <c r="L915" t="b">
        <f t="shared" si="128"/>
        <v>0</v>
      </c>
      <c r="M915" t="b">
        <f t="shared" si="129"/>
        <v>0</v>
      </c>
      <c r="N915" t="b">
        <f t="shared" si="129"/>
        <v>0</v>
      </c>
      <c r="O915" t="b">
        <f t="shared" si="130"/>
        <v>0</v>
      </c>
      <c r="P915" t="b">
        <f t="shared" si="131"/>
        <v>0</v>
      </c>
      <c r="Q915" t="b">
        <f t="shared" si="132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REGIONTYPE1</v>
      </c>
      <c r="G916" s="31" t="str">
        <f>_xlfn.XLOOKUP($A916,PROPERTIES[VEHIDCODE],PROPERTIES[REGION2])</f>
        <v>OCEANIA</v>
      </c>
      <c r="H916" s="31" t="str">
        <f t="shared" ref="H916:H1016" si="134">_xlfn.CONCAT($F916,"_",$G916)</f>
        <v>REGIONTYPE1_OCEANIA</v>
      </c>
      <c r="I916" t="b">
        <f t="shared" ref="I916:I1016" si="135">OR(ISNUMBER(SEARCH("ALL_REGION",$H916)),
ISNUMBER(SEARCH("AFRICA",$H916)),
ISNUMBER(SEARCH("REGIONTYPE1",$H916)),
ISNUMBER(SEARCH("REGIONTYPE2",$H916)))</f>
        <v>1</v>
      </c>
      <c r="J916" t="b">
        <f t="shared" si="133"/>
        <v>1</v>
      </c>
      <c r="K916" t="b">
        <f t="shared" si="127"/>
        <v>1</v>
      </c>
      <c r="L916" t="b">
        <f t="shared" si="128"/>
        <v>1</v>
      </c>
      <c r="M916" t="b">
        <f t="shared" si="129"/>
        <v>1</v>
      </c>
      <c r="N916" t="b">
        <f t="shared" si="129"/>
        <v>1</v>
      </c>
      <c r="O916" t="b">
        <f t="shared" si="130"/>
        <v>0</v>
      </c>
      <c r="P916" t="b">
        <f t="shared" si="131"/>
        <v>0</v>
      </c>
      <c r="Q916" t="b">
        <f t="shared" si="132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REGIONTYPE1</v>
      </c>
      <c r="G917" s="31" t="str">
        <f>_xlfn.XLOOKUP($A917,PROPERTIES[VEHIDCODE],PROPERTIES[REGION2])</f>
        <v>OCEANIA</v>
      </c>
      <c r="H917" s="31" t="str">
        <f t="shared" si="134"/>
        <v>REGIONTYPE1_OCEANIA</v>
      </c>
      <c r="I917" t="b">
        <f t="shared" si="135"/>
        <v>1</v>
      </c>
      <c r="J917" t="b">
        <f t="shared" si="133"/>
        <v>1</v>
      </c>
      <c r="K917" t="b">
        <f t="shared" si="127"/>
        <v>1</v>
      </c>
      <c r="L917" t="b">
        <f t="shared" si="128"/>
        <v>1</v>
      </c>
      <c r="M917" t="b">
        <f t="shared" si="129"/>
        <v>1</v>
      </c>
      <c r="N917" t="b">
        <f t="shared" si="129"/>
        <v>1</v>
      </c>
      <c r="O917" t="b">
        <f t="shared" si="130"/>
        <v>0</v>
      </c>
      <c r="P917" t="b">
        <f t="shared" si="131"/>
        <v>0</v>
      </c>
      <c r="Q917" t="b">
        <f t="shared" si="132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34"/>
        <v>OCEANIA_NO_REGION</v>
      </c>
      <c r="I918" t="b">
        <f t="shared" si="135"/>
        <v>0</v>
      </c>
      <c r="J918" t="b">
        <f t="shared" si="133"/>
        <v>0</v>
      </c>
      <c r="K918" t="b">
        <f t="shared" si="127"/>
        <v>0</v>
      </c>
      <c r="L918" t="b">
        <f t="shared" si="128"/>
        <v>0</v>
      </c>
      <c r="M918" t="b">
        <f t="shared" si="129"/>
        <v>0</v>
      </c>
      <c r="N918" t="b">
        <f t="shared" si="129"/>
        <v>0</v>
      </c>
      <c r="O918" t="b">
        <f t="shared" si="130"/>
        <v>0</v>
      </c>
      <c r="P918" t="b">
        <f t="shared" si="131"/>
        <v>0</v>
      </c>
      <c r="Q918" t="b">
        <f t="shared" si="132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34"/>
        <v>OCEANIA_NO_REGION</v>
      </c>
      <c r="I919" t="b">
        <f t="shared" si="135"/>
        <v>0</v>
      </c>
      <c r="J919" t="b">
        <f t="shared" si="133"/>
        <v>0</v>
      </c>
      <c r="K919" t="b">
        <f t="shared" si="127"/>
        <v>0</v>
      </c>
      <c r="L919" t="b">
        <f t="shared" si="128"/>
        <v>0</v>
      </c>
      <c r="M919" t="b">
        <f t="shared" si="129"/>
        <v>0</v>
      </c>
      <c r="N919" t="b">
        <f t="shared" si="129"/>
        <v>0</v>
      </c>
      <c r="O919" t="b">
        <f t="shared" si="130"/>
        <v>0</v>
      </c>
      <c r="P919" t="b">
        <f t="shared" si="131"/>
        <v>0</v>
      </c>
      <c r="Q919" t="b">
        <f t="shared" si="132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34"/>
        <v>OCEANIA_NO_REGION</v>
      </c>
      <c r="I920" t="b">
        <f t="shared" si="135"/>
        <v>0</v>
      </c>
      <c r="J920" t="b">
        <f t="shared" si="133"/>
        <v>0</v>
      </c>
      <c r="K920" t="b">
        <f t="shared" si="127"/>
        <v>0</v>
      </c>
      <c r="L920" t="b">
        <f t="shared" si="128"/>
        <v>0</v>
      </c>
      <c r="M920" t="b">
        <f t="shared" si="129"/>
        <v>0</v>
      </c>
      <c r="N920" t="b">
        <f t="shared" si="129"/>
        <v>0</v>
      </c>
      <c r="O920" t="b">
        <f t="shared" si="130"/>
        <v>0</v>
      </c>
      <c r="P920" t="b">
        <f t="shared" si="131"/>
        <v>0</v>
      </c>
      <c r="Q920" t="b">
        <f t="shared" si="132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34"/>
        <v>OCEANIA_NO_REGION</v>
      </c>
      <c r="I921" t="b">
        <f t="shared" si="135"/>
        <v>0</v>
      </c>
      <c r="J921" t="b">
        <f t="shared" si="133"/>
        <v>0</v>
      </c>
      <c r="K921" t="b">
        <f t="shared" si="127"/>
        <v>0</v>
      </c>
      <c r="L921" t="b">
        <f t="shared" si="128"/>
        <v>0</v>
      </c>
      <c r="M921" t="b">
        <f t="shared" si="129"/>
        <v>0</v>
      </c>
      <c r="N921" t="b">
        <f t="shared" si="129"/>
        <v>0</v>
      </c>
      <c r="O921" t="b">
        <f t="shared" si="130"/>
        <v>0</v>
      </c>
      <c r="P921" t="b">
        <f t="shared" si="131"/>
        <v>0</v>
      </c>
      <c r="Q921" t="b">
        <f t="shared" si="132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34"/>
        <v>OCEANIA_NO_REGION</v>
      </c>
      <c r="I922" t="b">
        <f t="shared" si="135"/>
        <v>0</v>
      </c>
      <c r="J922" t="b">
        <f t="shared" si="133"/>
        <v>0</v>
      </c>
      <c r="K922" t="b">
        <f t="shared" si="127"/>
        <v>0</v>
      </c>
      <c r="L922" t="b">
        <f t="shared" si="128"/>
        <v>0</v>
      </c>
      <c r="M922" t="b">
        <f t="shared" si="129"/>
        <v>0</v>
      </c>
      <c r="N922" t="b">
        <f t="shared" si="129"/>
        <v>0</v>
      </c>
      <c r="O922" t="b">
        <f t="shared" si="130"/>
        <v>0</v>
      </c>
      <c r="P922" t="b">
        <f t="shared" si="131"/>
        <v>0</v>
      </c>
      <c r="Q922" t="b">
        <f t="shared" si="132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34"/>
        <v>OCEANIA_NO_REGION</v>
      </c>
      <c r="I923" t="b">
        <f t="shared" si="135"/>
        <v>0</v>
      </c>
      <c r="J923" t="b">
        <f t="shared" si="133"/>
        <v>0</v>
      </c>
      <c r="K923" t="b">
        <f t="shared" si="127"/>
        <v>0</v>
      </c>
      <c r="L923" t="b">
        <f t="shared" si="128"/>
        <v>0</v>
      </c>
      <c r="M923" t="b">
        <f t="shared" si="129"/>
        <v>0</v>
      </c>
      <c r="N923" t="b">
        <f t="shared" si="129"/>
        <v>0</v>
      </c>
      <c r="O923" t="b">
        <f t="shared" si="130"/>
        <v>0</v>
      </c>
      <c r="P923" t="b">
        <f t="shared" si="131"/>
        <v>0</v>
      </c>
      <c r="Q923" t="b">
        <f t="shared" si="132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34"/>
        <v>OCEANIA_NO_REGION</v>
      </c>
      <c r="I924" t="b">
        <f t="shared" si="135"/>
        <v>0</v>
      </c>
      <c r="J924" t="b">
        <f t="shared" si="133"/>
        <v>0</v>
      </c>
      <c r="K924" t="b">
        <f t="shared" si="127"/>
        <v>0</v>
      </c>
      <c r="L924" t="b">
        <f t="shared" si="128"/>
        <v>0</v>
      </c>
      <c r="M924" t="b">
        <f t="shared" si="129"/>
        <v>0</v>
      </c>
      <c r="N924" t="b">
        <f t="shared" si="129"/>
        <v>0</v>
      </c>
      <c r="O924" t="b">
        <f t="shared" si="130"/>
        <v>0</v>
      </c>
      <c r="P924" t="b">
        <f t="shared" si="131"/>
        <v>0</v>
      </c>
      <c r="Q924" t="b">
        <f t="shared" si="132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34"/>
        <v>OCEANIA_NO_REGION</v>
      </c>
      <c r="I925" t="b">
        <f t="shared" si="135"/>
        <v>0</v>
      </c>
      <c r="J925" t="b">
        <f t="shared" si="133"/>
        <v>0</v>
      </c>
      <c r="K925" t="b">
        <f t="shared" si="127"/>
        <v>0</v>
      </c>
      <c r="L925" t="b">
        <f t="shared" si="128"/>
        <v>0</v>
      </c>
      <c r="M925" t="b">
        <f t="shared" si="129"/>
        <v>0</v>
      </c>
      <c r="N925" t="b">
        <f t="shared" si="129"/>
        <v>0</v>
      </c>
      <c r="O925" t="b">
        <f t="shared" si="130"/>
        <v>0</v>
      </c>
      <c r="P925" t="b">
        <f t="shared" si="131"/>
        <v>0</v>
      </c>
      <c r="Q925" t="b">
        <f t="shared" si="132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34"/>
        <v>OCEANIA_NO_REGION</v>
      </c>
      <c r="I926" t="b">
        <f t="shared" si="135"/>
        <v>0</v>
      </c>
      <c r="J926" t="b">
        <f t="shared" si="133"/>
        <v>0</v>
      </c>
      <c r="K926" t="b">
        <f t="shared" si="127"/>
        <v>0</v>
      </c>
      <c r="L926" t="b">
        <f t="shared" si="128"/>
        <v>0</v>
      </c>
      <c r="M926" t="b">
        <f t="shared" si="129"/>
        <v>0</v>
      </c>
      <c r="N926" t="b">
        <f t="shared" si="129"/>
        <v>0</v>
      </c>
      <c r="O926" t="b">
        <f t="shared" si="130"/>
        <v>0</v>
      </c>
      <c r="P926" t="b">
        <f t="shared" si="131"/>
        <v>0</v>
      </c>
      <c r="Q926" t="b">
        <f t="shared" si="132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34"/>
        <v>OCEANIA_NO_REGION</v>
      </c>
      <c r="I927" t="b">
        <f t="shared" si="135"/>
        <v>0</v>
      </c>
      <c r="J927" t="b">
        <f t="shared" si="133"/>
        <v>0</v>
      </c>
      <c r="K927" t="b">
        <f t="shared" si="127"/>
        <v>0</v>
      </c>
      <c r="L927" t="b">
        <f t="shared" si="128"/>
        <v>0</v>
      </c>
      <c r="M927" t="b">
        <f t="shared" si="129"/>
        <v>0</v>
      </c>
      <c r="N927" t="b">
        <f t="shared" si="129"/>
        <v>0</v>
      </c>
      <c r="O927" t="b">
        <f t="shared" si="130"/>
        <v>0</v>
      </c>
      <c r="P927" t="b">
        <f t="shared" si="131"/>
        <v>0</v>
      </c>
      <c r="Q927" t="b">
        <f t="shared" si="132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34"/>
        <v>OCEANIA_NO_REGION</v>
      </c>
      <c r="I928" t="b">
        <f t="shared" si="135"/>
        <v>0</v>
      </c>
      <c r="J928" t="b">
        <f t="shared" si="133"/>
        <v>0</v>
      </c>
      <c r="K928" t="b">
        <f t="shared" si="127"/>
        <v>0</v>
      </c>
      <c r="L928" t="b">
        <f t="shared" si="128"/>
        <v>0</v>
      </c>
      <c r="M928" t="b">
        <f t="shared" si="129"/>
        <v>0</v>
      </c>
      <c r="N928" t="b">
        <f t="shared" si="129"/>
        <v>0</v>
      </c>
      <c r="O928" t="b">
        <f t="shared" si="130"/>
        <v>0</v>
      </c>
      <c r="P928" t="b">
        <f t="shared" si="131"/>
        <v>0</v>
      </c>
      <c r="Q928" t="b">
        <f t="shared" si="132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34"/>
        <v>OCEANIA_NO_REGION</v>
      </c>
      <c r="I929" t="b">
        <f t="shared" si="135"/>
        <v>0</v>
      </c>
      <c r="J929" t="b">
        <f t="shared" si="133"/>
        <v>0</v>
      </c>
      <c r="K929" t="b">
        <f t="shared" si="127"/>
        <v>0</v>
      </c>
      <c r="L929" t="b">
        <f t="shared" si="128"/>
        <v>0</v>
      </c>
      <c r="M929" t="b">
        <f t="shared" si="129"/>
        <v>0</v>
      </c>
      <c r="N929" t="b">
        <f t="shared" si="129"/>
        <v>0</v>
      </c>
      <c r="O929" t="b">
        <f t="shared" si="130"/>
        <v>0</v>
      </c>
      <c r="P929" t="b">
        <f t="shared" si="131"/>
        <v>0</v>
      </c>
      <c r="Q929" t="b">
        <f t="shared" si="132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34"/>
        <v>OCEANIA_NO_REGION</v>
      </c>
      <c r="I930" t="b">
        <f t="shared" si="135"/>
        <v>0</v>
      </c>
      <c r="J930" t="b">
        <f t="shared" si="133"/>
        <v>0</v>
      </c>
      <c r="K930" t="b">
        <f t="shared" si="127"/>
        <v>0</v>
      </c>
      <c r="L930" t="b">
        <f t="shared" si="128"/>
        <v>0</v>
      </c>
      <c r="M930" t="b">
        <f t="shared" si="129"/>
        <v>0</v>
      </c>
      <c r="N930" t="b">
        <f t="shared" si="129"/>
        <v>0</v>
      </c>
      <c r="O930" t="b">
        <f t="shared" si="130"/>
        <v>0</v>
      </c>
      <c r="P930" t="b">
        <f t="shared" si="131"/>
        <v>0</v>
      </c>
      <c r="Q930" t="b">
        <f t="shared" si="132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34"/>
        <v>OCEANIA_NO_REGION</v>
      </c>
      <c r="I931" t="b">
        <f t="shared" si="135"/>
        <v>0</v>
      </c>
      <c r="J931" t="b">
        <f t="shared" si="133"/>
        <v>0</v>
      </c>
      <c r="K931" t="b">
        <f t="shared" si="127"/>
        <v>0</v>
      </c>
      <c r="L931" t="b">
        <f t="shared" si="128"/>
        <v>0</v>
      </c>
      <c r="M931" t="b">
        <f t="shared" ref="M931:N962" si="136">OR(ISNUMBER(SEARCH("ALL_REGION",$H931)),
ISNUMBER(SEARCH("ALL_EUROPE",$H931)),
ISNUMBER(SEARCH(M$1,$H931)),
ISNUMBER(SEARCH("REGIONTYPE1",$H931)),
ISNUMBER(SEARCH("REGIONTYPE6",$H931)))</f>
        <v>0</v>
      </c>
      <c r="N931" t="b">
        <f t="shared" si="136"/>
        <v>0</v>
      </c>
      <c r="O931" t="b">
        <f t="shared" si="130"/>
        <v>0</v>
      </c>
      <c r="P931" t="b">
        <f t="shared" si="131"/>
        <v>0</v>
      </c>
      <c r="Q931" t="b">
        <f t="shared" si="132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34"/>
        <v>OCEANIA_NO_REGION</v>
      </c>
      <c r="I932" t="b">
        <f t="shared" si="135"/>
        <v>0</v>
      </c>
      <c r="J932" t="b">
        <f t="shared" si="133"/>
        <v>0</v>
      </c>
      <c r="K932" t="b">
        <f t="shared" si="127"/>
        <v>0</v>
      </c>
      <c r="L932" t="b">
        <f t="shared" si="128"/>
        <v>0</v>
      </c>
      <c r="M932" t="b">
        <f t="shared" si="136"/>
        <v>0</v>
      </c>
      <c r="N932" t="b">
        <f t="shared" si="136"/>
        <v>0</v>
      </c>
      <c r="O932" t="b">
        <f t="shared" si="130"/>
        <v>0</v>
      </c>
      <c r="P932" t="b">
        <f t="shared" si="131"/>
        <v>0</v>
      </c>
      <c r="Q932" t="b">
        <f t="shared" si="132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34"/>
        <v>OCEANIA_NO_REGION</v>
      </c>
      <c r="I933" t="b">
        <f t="shared" si="135"/>
        <v>0</v>
      </c>
      <c r="J933" t="b">
        <f t="shared" si="133"/>
        <v>0</v>
      </c>
      <c r="K933" t="b">
        <f t="shared" si="127"/>
        <v>0</v>
      </c>
      <c r="L933" t="b">
        <f t="shared" si="128"/>
        <v>0</v>
      </c>
      <c r="M933" t="b">
        <f t="shared" si="136"/>
        <v>0</v>
      </c>
      <c r="N933" t="b">
        <f t="shared" si="136"/>
        <v>0</v>
      </c>
      <c r="O933" t="b">
        <f t="shared" si="130"/>
        <v>0</v>
      </c>
      <c r="P933" t="b">
        <f t="shared" si="131"/>
        <v>0</v>
      </c>
      <c r="Q933" t="b">
        <f t="shared" si="132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34"/>
        <v>OCEANIA_NO_REGION</v>
      </c>
      <c r="I934" t="b">
        <f t="shared" si="135"/>
        <v>0</v>
      </c>
      <c r="J934" t="b">
        <f t="shared" si="133"/>
        <v>0</v>
      </c>
      <c r="K934" t="b">
        <f t="shared" si="127"/>
        <v>0</v>
      </c>
      <c r="L934" t="b">
        <f t="shared" si="128"/>
        <v>0</v>
      </c>
      <c r="M934" t="b">
        <f t="shared" si="136"/>
        <v>0</v>
      </c>
      <c r="N934" t="b">
        <f t="shared" si="136"/>
        <v>0</v>
      </c>
      <c r="O934" t="b">
        <f t="shared" si="130"/>
        <v>0</v>
      </c>
      <c r="P934" t="b">
        <f t="shared" si="131"/>
        <v>0</v>
      </c>
      <c r="Q934" t="b">
        <f t="shared" si="132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34"/>
        <v>OCEANIA_NO_REGION</v>
      </c>
      <c r="I935" t="b">
        <f t="shared" si="135"/>
        <v>0</v>
      </c>
      <c r="J935" t="b">
        <f t="shared" si="133"/>
        <v>0</v>
      </c>
      <c r="K935" t="b">
        <f t="shared" si="127"/>
        <v>0</v>
      </c>
      <c r="L935" t="b">
        <f t="shared" si="128"/>
        <v>0</v>
      </c>
      <c r="M935" t="b">
        <f t="shared" si="136"/>
        <v>0</v>
      </c>
      <c r="N935" t="b">
        <f t="shared" si="136"/>
        <v>0</v>
      </c>
      <c r="O935" t="b">
        <f t="shared" si="130"/>
        <v>0</v>
      </c>
      <c r="P935" t="b">
        <f t="shared" si="131"/>
        <v>0</v>
      </c>
      <c r="Q935" t="b">
        <f t="shared" si="132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34"/>
        <v>OCEANIA_NO_REGION</v>
      </c>
      <c r="I936" t="b">
        <f t="shared" si="135"/>
        <v>0</v>
      </c>
      <c r="J936" t="b">
        <f t="shared" si="133"/>
        <v>0</v>
      </c>
      <c r="K936" t="b">
        <f t="shared" si="127"/>
        <v>0</v>
      </c>
      <c r="L936" t="b">
        <f t="shared" si="128"/>
        <v>0</v>
      </c>
      <c r="M936" t="b">
        <f t="shared" si="136"/>
        <v>0</v>
      </c>
      <c r="N936" t="b">
        <f t="shared" si="136"/>
        <v>0</v>
      </c>
      <c r="O936" t="b">
        <f t="shared" si="130"/>
        <v>0</v>
      </c>
      <c r="P936" t="b">
        <f t="shared" si="131"/>
        <v>0</v>
      </c>
      <c r="Q936" t="b">
        <f t="shared" si="132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34"/>
        <v>OCEANIA_NO_REGION</v>
      </c>
      <c r="I937" t="b">
        <f t="shared" si="135"/>
        <v>0</v>
      </c>
      <c r="J937" t="b">
        <f t="shared" si="133"/>
        <v>0</v>
      </c>
      <c r="K937" t="b">
        <f t="shared" si="127"/>
        <v>0</v>
      </c>
      <c r="L937" t="b">
        <f t="shared" si="128"/>
        <v>0</v>
      </c>
      <c r="M937" t="b">
        <f t="shared" si="136"/>
        <v>0</v>
      </c>
      <c r="N937" t="b">
        <f t="shared" si="136"/>
        <v>0</v>
      </c>
      <c r="O937" t="b">
        <f t="shared" si="130"/>
        <v>0</v>
      </c>
      <c r="P937" t="b">
        <f t="shared" si="131"/>
        <v>0</v>
      </c>
      <c r="Q937" t="b">
        <f t="shared" si="132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34"/>
        <v>EASTERN_EUROPE_NO_REGION</v>
      </c>
      <c r="I938" t="b">
        <f t="shared" si="135"/>
        <v>0</v>
      </c>
      <c r="J938" t="b">
        <f t="shared" si="133"/>
        <v>0</v>
      </c>
      <c r="K938" t="b">
        <f t="shared" si="127"/>
        <v>0</v>
      </c>
      <c r="L938" t="b">
        <f t="shared" si="128"/>
        <v>1</v>
      </c>
      <c r="M938" t="b">
        <f t="shared" si="136"/>
        <v>0</v>
      </c>
      <c r="N938" t="b">
        <f t="shared" si="136"/>
        <v>0</v>
      </c>
      <c r="O938" t="b">
        <f t="shared" si="130"/>
        <v>0</v>
      </c>
      <c r="P938" t="b">
        <f t="shared" si="131"/>
        <v>0</v>
      </c>
      <c r="Q938" t="b">
        <f t="shared" si="132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34"/>
        <v>OCEANIA_NO_REGION</v>
      </c>
      <c r="I939" t="b">
        <f t="shared" si="135"/>
        <v>0</v>
      </c>
      <c r="J939" t="b">
        <f t="shared" si="133"/>
        <v>0</v>
      </c>
      <c r="K939" t="b">
        <f t="shared" si="127"/>
        <v>0</v>
      </c>
      <c r="L939" t="b">
        <f t="shared" si="128"/>
        <v>0</v>
      </c>
      <c r="M939" t="b">
        <f t="shared" si="136"/>
        <v>0</v>
      </c>
      <c r="N939" t="b">
        <f t="shared" si="136"/>
        <v>0</v>
      </c>
      <c r="O939" t="b">
        <f t="shared" si="130"/>
        <v>0</v>
      </c>
      <c r="P939" t="b">
        <f t="shared" si="131"/>
        <v>0</v>
      </c>
      <c r="Q939" t="b">
        <f t="shared" si="132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34"/>
        <v>ASIA_NO_REGION</v>
      </c>
      <c r="I940" t="b">
        <f t="shared" si="135"/>
        <v>0</v>
      </c>
      <c r="J940" t="b">
        <f t="shared" si="133"/>
        <v>1</v>
      </c>
      <c r="K940" t="b">
        <f t="shared" si="127"/>
        <v>0</v>
      </c>
      <c r="L940" t="b">
        <f t="shared" si="128"/>
        <v>0</v>
      </c>
      <c r="M940" t="b">
        <f t="shared" si="136"/>
        <v>0</v>
      </c>
      <c r="N940" t="b">
        <f t="shared" si="136"/>
        <v>0</v>
      </c>
      <c r="O940" t="b">
        <f t="shared" si="130"/>
        <v>0</v>
      </c>
      <c r="P940" t="b">
        <f t="shared" si="131"/>
        <v>0</v>
      </c>
      <c r="Q940" t="b">
        <f t="shared" si="132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34"/>
        <v>ASIA_NO_REGION</v>
      </c>
      <c r="I941" t="b">
        <f t="shared" si="135"/>
        <v>0</v>
      </c>
      <c r="J941" t="b">
        <f t="shared" si="133"/>
        <v>1</v>
      </c>
      <c r="K941" t="b">
        <f t="shared" si="127"/>
        <v>0</v>
      </c>
      <c r="L941" t="b">
        <f t="shared" si="128"/>
        <v>0</v>
      </c>
      <c r="M941" t="b">
        <f t="shared" si="136"/>
        <v>0</v>
      </c>
      <c r="N941" t="b">
        <f t="shared" si="136"/>
        <v>0</v>
      </c>
      <c r="O941" t="b">
        <f t="shared" si="130"/>
        <v>0</v>
      </c>
      <c r="P941" t="b">
        <f t="shared" si="131"/>
        <v>0</v>
      </c>
      <c r="Q941" t="b">
        <f t="shared" si="132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34"/>
        <v>ASIA_NO_REGION</v>
      </c>
      <c r="I942" t="b">
        <f t="shared" si="135"/>
        <v>0</v>
      </c>
      <c r="J942" t="b">
        <f t="shared" si="133"/>
        <v>1</v>
      </c>
      <c r="K942" t="b">
        <f t="shared" si="127"/>
        <v>0</v>
      </c>
      <c r="L942" t="b">
        <f t="shared" si="128"/>
        <v>0</v>
      </c>
      <c r="M942" t="b">
        <f t="shared" si="136"/>
        <v>0</v>
      </c>
      <c r="N942" t="b">
        <f t="shared" si="136"/>
        <v>0</v>
      </c>
      <c r="O942" t="b">
        <f t="shared" si="130"/>
        <v>0</v>
      </c>
      <c r="P942" t="b">
        <f t="shared" si="131"/>
        <v>0</v>
      </c>
      <c r="Q942" t="b">
        <f t="shared" si="132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34"/>
        <v>ASIA_NO_REGION</v>
      </c>
      <c r="I943" t="b">
        <f t="shared" si="135"/>
        <v>0</v>
      </c>
      <c r="J943" t="b">
        <f t="shared" si="133"/>
        <v>1</v>
      </c>
      <c r="K943" t="b">
        <f t="shared" si="127"/>
        <v>0</v>
      </c>
      <c r="L943" t="b">
        <f t="shared" si="128"/>
        <v>0</v>
      </c>
      <c r="M943" t="b">
        <f t="shared" si="136"/>
        <v>0</v>
      </c>
      <c r="N943" t="b">
        <f t="shared" si="136"/>
        <v>0</v>
      </c>
      <c r="O943" t="b">
        <f t="shared" si="130"/>
        <v>0</v>
      </c>
      <c r="P943" t="b">
        <f t="shared" si="131"/>
        <v>0</v>
      </c>
      <c r="Q943" t="b">
        <f t="shared" si="132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REGIONTYPE4</v>
      </c>
      <c r="G944" s="31" t="str">
        <f>_xlfn.XLOOKUP($A944,PROPERTIES[VEHIDCODE],PROPERTIES[REGION2])</f>
        <v>NO_REGION</v>
      </c>
      <c r="H944" s="31" t="str">
        <f t="shared" si="134"/>
        <v>REGIONTYPE4_NO_REGION</v>
      </c>
      <c r="I944" t="b">
        <f t="shared" si="135"/>
        <v>0</v>
      </c>
      <c r="J944" t="b">
        <f t="shared" si="133"/>
        <v>1</v>
      </c>
      <c r="K944" t="b">
        <f t="shared" si="127"/>
        <v>0</v>
      </c>
      <c r="L944" t="b">
        <f t="shared" si="128"/>
        <v>1</v>
      </c>
      <c r="M944" t="b">
        <f t="shared" si="136"/>
        <v>0</v>
      </c>
      <c r="N944" t="b">
        <f t="shared" si="136"/>
        <v>0</v>
      </c>
      <c r="O944" t="b">
        <f t="shared" si="130"/>
        <v>0</v>
      </c>
      <c r="P944" t="b">
        <f t="shared" si="131"/>
        <v>0</v>
      </c>
      <c r="Q944" t="b">
        <f t="shared" si="132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34"/>
        <v>ASIA_NO_REGION</v>
      </c>
      <c r="I945" t="b">
        <f t="shared" si="135"/>
        <v>0</v>
      </c>
      <c r="J945" t="b">
        <f t="shared" si="133"/>
        <v>1</v>
      </c>
      <c r="K945" t="b">
        <f t="shared" si="127"/>
        <v>0</v>
      </c>
      <c r="L945" t="b">
        <f t="shared" si="128"/>
        <v>0</v>
      </c>
      <c r="M945" t="b">
        <f t="shared" si="136"/>
        <v>0</v>
      </c>
      <c r="N945" t="b">
        <f t="shared" si="136"/>
        <v>0</v>
      </c>
      <c r="O945" t="b">
        <f t="shared" si="130"/>
        <v>0</v>
      </c>
      <c r="P945" t="b">
        <f t="shared" si="131"/>
        <v>0</v>
      </c>
      <c r="Q945" t="b">
        <f t="shared" si="132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34"/>
        <v>ASIA_NO_REGION</v>
      </c>
      <c r="I946" t="b">
        <f t="shared" si="135"/>
        <v>0</v>
      </c>
      <c r="J946" t="b">
        <f t="shared" si="133"/>
        <v>1</v>
      </c>
      <c r="K946" t="b">
        <f t="shared" si="127"/>
        <v>0</v>
      </c>
      <c r="L946" t="b">
        <f t="shared" si="128"/>
        <v>0</v>
      </c>
      <c r="M946" t="b">
        <f t="shared" si="136"/>
        <v>0</v>
      </c>
      <c r="N946" t="b">
        <f t="shared" si="136"/>
        <v>0</v>
      </c>
      <c r="O946" t="b">
        <f t="shared" si="130"/>
        <v>0</v>
      </c>
      <c r="P946" t="b">
        <f t="shared" si="131"/>
        <v>0</v>
      </c>
      <c r="Q946" t="b">
        <f t="shared" si="132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34"/>
        <v>ASIA_NO_REGION</v>
      </c>
      <c r="I947" t="b">
        <f t="shared" si="135"/>
        <v>0</v>
      </c>
      <c r="J947" t="b">
        <f t="shared" si="133"/>
        <v>1</v>
      </c>
      <c r="K947" t="b">
        <f t="shared" si="127"/>
        <v>0</v>
      </c>
      <c r="L947" t="b">
        <f t="shared" si="128"/>
        <v>0</v>
      </c>
      <c r="M947" t="b">
        <f t="shared" si="136"/>
        <v>0</v>
      </c>
      <c r="N947" t="b">
        <f t="shared" si="136"/>
        <v>0</v>
      </c>
      <c r="O947" t="b">
        <f t="shared" si="130"/>
        <v>0</v>
      </c>
      <c r="P947" t="b">
        <f t="shared" si="131"/>
        <v>0</v>
      </c>
      <c r="Q947" t="b">
        <f t="shared" si="132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34"/>
        <v>ASIA_NO_REGION</v>
      </c>
      <c r="I948" t="b">
        <f t="shared" si="135"/>
        <v>0</v>
      </c>
      <c r="J948" t="b">
        <f t="shared" si="133"/>
        <v>1</v>
      </c>
      <c r="K948" t="b">
        <f t="shared" si="127"/>
        <v>0</v>
      </c>
      <c r="L948" t="b">
        <f t="shared" si="128"/>
        <v>0</v>
      </c>
      <c r="M948" t="b">
        <f t="shared" si="136"/>
        <v>0</v>
      </c>
      <c r="N948" t="b">
        <f t="shared" si="136"/>
        <v>0</v>
      </c>
      <c r="O948" t="b">
        <f t="shared" si="130"/>
        <v>0</v>
      </c>
      <c r="P948" t="b">
        <f t="shared" si="131"/>
        <v>0</v>
      </c>
      <c r="Q948" t="b">
        <f t="shared" si="132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34"/>
        <v>ASIA_NO_REGION</v>
      </c>
      <c r="I949" t="b">
        <f t="shared" si="135"/>
        <v>0</v>
      </c>
      <c r="J949" t="b">
        <f t="shared" si="133"/>
        <v>1</v>
      </c>
      <c r="K949" t="b">
        <f t="shared" si="127"/>
        <v>0</v>
      </c>
      <c r="L949" t="b">
        <f t="shared" si="128"/>
        <v>0</v>
      </c>
      <c r="M949" t="b">
        <f t="shared" si="136"/>
        <v>0</v>
      </c>
      <c r="N949" t="b">
        <f t="shared" si="136"/>
        <v>0</v>
      </c>
      <c r="O949" t="b">
        <f t="shared" si="130"/>
        <v>0</v>
      </c>
      <c r="P949" t="b">
        <f t="shared" si="131"/>
        <v>0</v>
      </c>
      <c r="Q949" t="b">
        <f t="shared" si="132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34"/>
        <v>EASTERN_EUROPE_NO_REGION</v>
      </c>
      <c r="I950" t="b">
        <f t="shared" si="135"/>
        <v>0</v>
      </c>
      <c r="J950" t="b">
        <f t="shared" si="133"/>
        <v>0</v>
      </c>
      <c r="K950" t="b">
        <f t="shared" si="127"/>
        <v>0</v>
      </c>
      <c r="L950" t="b">
        <f t="shared" si="128"/>
        <v>1</v>
      </c>
      <c r="M950" t="b">
        <f t="shared" si="136"/>
        <v>0</v>
      </c>
      <c r="N950" t="b">
        <f t="shared" si="136"/>
        <v>0</v>
      </c>
      <c r="O950" t="b">
        <f t="shared" si="130"/>
        <v>0</v>
      </c>
      <c r="P950" t="b">
        <f t="shared" si="131"/>
        <v>0</v>
      </c>
      <c r="Q950" t="b">
        <f t="shared" si="132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34"/>
        <v>ALL_REGION_NO_REGION</v>
      </c>
      <c r="I951" t="b">
        <f t="shared" si="135"/>
        <v>1</v>
      </c>
      <c r="J951" t="b">
        <f t="shared" si="133"/>
        <v>1</v>
      </c>
      <c r="K951" t="b">
        <f t="shared" si="127"/>
        <v>1</v>
      </c>
      <c r="L951" t="b">
        <f t="shared" si="128"/>
        <v>1</v>
      </c>
      <c r="M951" t="b">
        <f t="shared" si="136"/>
        <v>1</v>
      </c>
      <c r="N951" t="b">
        <f t="shared" si="136"/>
        <v>1</v>
      </c>
      <c r="O951" t="b">
        <f t="shared" si="130"/>
        <v>1</v>
      </c>
      <c r="P951" t="b">
        <f t="shared" si="131"/>
        <v>1</v>
      </c>
      <c r="Q951" t="b">
        <f t="shared" si="132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34"/>
        <v>ALL_AMERICA_AFRICA</v>
      </c>
      <c r="I952" t="b">
        <f t="shared" si="135"/>
        <v>1</v>
      </c>
      <c r="J952" t="b">
        <f t="shared" si="133"/>
        <v>0</v>
      </c>
      <c r="K952" t="b">
        <f t="shared" si="127"/>
        <v>0</v>
      </c>
      <c r="L952" t="b">
        <f t="shared" si="128"/>
        <v>0</v>
      </c>
      <c r="M952" t="b">
        <f t="shared" si="136"/>
        <v>0</v>
      </c>
      <c r="N952" t="b">
        <f t="shared" si="136"/>
        <v>0</v>
      </c>
      <c r="O952" t="b">
        <f t="shared" si="130"/>
        <v>1</v>
      </c>
      <c r="P952" t="b">
        <f t="shared" si="131"/>
        <v>1</v>
      </c>
      <c r="Q952" t="b">
        <f t="shared" si="132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34"/>
        <v>ALL_AMERICA_NO_REGION</v>
      </c>
      <c r="I953" t="b">
        <f t="shared" si="135"/>
        <v>0</v>
      </c>
      <c r="J953" t="b">
        <f t="shared" si="133"/>
        <v>0</v>
      </c>
      <c r="K953" t="b">
        <f t="shared" si="127"/>
        <v>0</v>
      </c>
      <c r="L953" t="b">
        <f t="shared" si="128"/>
        <v>0</v>
      </c>
      <c r="M953" t="b">
        <f t="shared" si="136"/>
        <v>0</v>
      </c>
      <c r="N953" t="b">
        <f t="shared" si="136"/>
        <v>0</v>
      </c>
      <c r="O953" t="b">
        <f t="shared" si="130"/>
        <v>1</v>
      </c>
      <c r="P953" t="b">
        <f t="shared" si="131"/>
        <v>1</v>
      </c>
      <c r="Q953" t="b">
        <f t="shared" si="132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NO_REGION</v>
      </c>
      <c r="H954" s="31" t="str">
        <f t="shared" si="134"/>
        <v>ALL_AMERICA_NO_REGION</v>
      </c>
      <c r="I954" t="b">
        <f t="shared" si="135"/>
        <v>0</v>
      </c>
      <c r="J954" t="b">
        <f t="shared" si="133"/>
        <v>0</v>
      </c>
      <c r="K954" t="b">
        <f t="shared" si="127"/>
        <v>0</v>
      </c>
      <c r="L954" t="b">
        <f t="shared" si="128"/>
        <v>0</v>
      </c>
      <c r="M954" t="b">
        <f t="shared" si="136"/>
        <v>0</v>
      </c>
      <c r="N954" t="b">
        <f t="shared" si="136"/>
        <v>0</v>
      </c>
      <c r="O954" t="b">
        <f t="shared" si="130"/>
        <v>1</v>
      </c>
      <c r="P954" t="b">
        <f t="shared" si="131"/>
        <v>1</v>
      </c>
      <c r="Q954" t="b">
        <f t="shared" si="132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34"/>
        <v>ALL_AMERICA_NO_REGION</v>
      </c>
      <c r="I955" t="b">
        <f t="shared" si="135"/>
        <v>0</v>
      </c>
      <c r="J955" t="b">
        <f t="shared" si="133"/>
        <v>0</v>
      </c>
      <c r="K955" t="b">
        <f t="shared" si="127"/>
        <v>0</v>
      </c>
      <c r="L955" t="b">
        <f t="shared" si="128"/>
        <v>0</v>
      </c>
      <c r="M955" t="b">
        <f t="shared" si="136"/>
        <v>0</v>
      </c>
      <c r="N955" t="b">
        <f t="shared" si="136"/>
        <v>0</v>
      </c>
      <c r="O955" t="b">
        <f t="shared" si="130"/>
        <v>1</v>
      </c>
      <c r="P955" t="b">
        <f t="shared" si="131"/>
        <v>1</v>
      </c>
      <c r="Q955" t="b">
        <f t="shared" si="132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34"/>
        <v>ALL_AMERICA_NO_REGION</v>
      </c>
      <c r="I956" t="b">
        <f t="shared" si="135"/>
        <v>0</v>
      </c>
      <c r="J956" t="b">
        <f t="shared" si="133"/>
        <v>0</v>
      </c>
      <c r="K956" t="b">
        <f t="shared" si="127"/>
        <v>0</v>
      </c>
      <c r="L956" t="b">
        <f t="shared" si="128"/>
        <v>0</v>
      </c>
      <c r="M956" t="b">
        <f t="shared" si="136"/>
        <v>0</v>
      </c>
      <c r="N956" t="b">
        <f t="shared" si="136"/>
        <v>0</v>
      </c>
      <c r="O956" t="b">
        <f t="shared" si="130"/>
        <v>1</v>
      </c>
      <c r="P956" t="b">
        <f t="shared" si="131"/>
        <v>1</v>
      </c>
      <c r="Q956" t="b">
        <f t="shared" si="132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34"/>
        <v>ALL_AMERICA_NO_REGION</v>
      </c>
      <c r="I957" t="b">
        <f t="shared" si="135"/>
        <v>0</v>
      </c>
      <c r="J957" t="b">
        <f t="shared" si="133"/>
        <v>0</v>
      </c>
      <c r="K957" t="b">
        <f t="shared" si="127"/>
        <v>0</v>
      </c>
      <c r="L957" t="b">
        <f t="shared" si="128"/>
        <v>0</v>
      </c>
      <c r="M957" t="b">
        <f t="shared" si="136"/>
        <v>0</v>
      </c>
      <c r="N957" t="b">
        <f t="shared" si="136"/>
        <v>0</v>
      </c>
      <c r="O957" t="b">
        <f t="shared" si="130"/>
        <v>1</v>
      </c>
      <c r="P957" t="b">
        <f t="shared" si="131"/>
        <v>1</v>
      </c>
      <c r="Q957" t="b">
        <f t="shared" si="132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34"/>
        <v>AFRICA_NO_REGION</v>
      </c>
      <c r="I958" t="b">
        <f t="shared" si="135"/>
        <v>1</v>
      </c>
      <c r="J958" t="b">
        <f t="shared" si="133"/>
        <v>0</v>
      </c>
      <c r="K958" t="b">
        <f t="shared" si="127"/>
        <v>0</v>
      </c>
      <c r="L958" t="b">
        <f t="shared" si="128"/>
        <v>0</v>
      </c>
      <c r="M958" t="b">
        <f t="shared" si="136"/>
        <v>0</v>
      </c>
      <c r="N958" t="b">
        <f t="shared" si="136"/>
        <v>0</v>
      </c>
      <c r="O958" t="b">
        <f t="shared" si="130"/>
        <v>0</v>
      </c>
      <c r="P958" t="b">
        <f t="shared" si="131"/>
        <v>0</v>
      </c>
      <c r="Q958" t="b">
        <f t="shared" si="132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34"/>
        <v>AFRICA_NO_REGION</v>
      </c>
      <c r="I959" t="b">
        <f t="shared" si="135"/>
        <v>1</v>
      </c>
      <c r="J959" t="b">
        <f t="shared" si="133"/>
        <v>0</v>
      </c>
      <c r="K959" t="b">
        <f t="shared" si="127"/>
        <v>0</v>
      </c>
      <c r="L959" t="b">
        <f t="shared" si="128"/>
        <v>0</v>
      </c>
      <c r="M959" t="b">
        <f t="shared" si="136"/>
        <v>0</v>
      </c>
      <c r="N959" t="b">
        <f t="shared" si="136"/>
        <v>0</v>
      </c>
      <c r="O959" t="b">
        <f t="shared" si="130"/>
        <v>0</v>
      </c>
      <c r="P959" t="b">
        <f t="shared" si="131"/>
        <v>0</v>
      </c>
      <c r="Q959" t="b">
        <f t="shared" si="132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34"/>
        <v>AFRICA_NO_REGION</v>
      </c>
      <c r="I960" t="b">
        <f t="shared" si="135"/>
        <v>1</v>
      </c>
      <c r="J960" t="b">
        <f t="shared" si="133"/>
        <v>0</v>
      </c>
      <c r="K960" t="b">
        <f t="shared" si="127"/>
        <v>0</v>
      </c>
      <c r="L960" t="b">
        <f t="shared" si="128"/>
        <v>0</v>
      </c>
      <c r="M960" t="b">
        <f t="shared" si="136"/>
        <v>0</v>
      </c>
      <c r="N960" t="b">
        <f t="shared" si="136"/>
        <v>0</v>
      </c>
      <c r="O960" t="b">
        <f t="shared" si="130"/>
        <v>0</v>
      </c>
      <c r="P960" t="b">
        <f t="shared" si="131"/>
        <v>0</v>
      </c>
      <c r="Q960" t="b">
        <f t="shared" si="132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34"/>
        <v>ALL_REGION_NO_REGION</v>
      </c>
      <c r="I961" t="b">
        <f t="shared" si="135"/>
        <v>1</v>
      </c>
      <c r="J961" t="b">
        <f t="shared" si="133"/>
        <v>1</v>
      </c>
      <c r="K961" t="b">
        <f t="shared" si="127"/>
        <v>1</v>
      </c>
      <c r="L961" t="b">
        <f t="shared" si="128"/>
        <v>1</v>
      </c>
      <c r="M961" t="b">
        <f t="shared" si="136"/>
        <v>1</v>
      </c>
      <c r="N961" t="b">
        <f t="shared" si="136"/>
        <v>1</v>
      </c>
      <c r="O961" t="b">
        <f t="shared" si="130"/>
        <v>1</v>
      </c>
      <c r="P961" t="b">
        <f t="shared" si="131"/>
        <v>1</v>
      </c>
      <c r="Q961" t="b">
        <f t="shared" si="132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34"/>
        <v>ALL_REGION_NO_REGION</v>
      </c>
      <c r="I962" t="b">
        <f t="shared" si="135"/>
        <v>1</v>
      </c>
      <c r="J962" t="b">
        <f t="shared" si="133"/>
        <v>1</v>
      </c>
      <c r="K962" t="b">
        <f t="shared" si="127"/>
        <v>1</v>
      </c>
      <c r="L962" t="b">
        <f t="shared" si="128"/>
        <v>1</v>
      </c>
      <c r="M962" t="b">
        <f t="shared" si="136"/>
        <v>1</v>
      </c>
      <c r="N962" t="b">
        <f t="shared" si="136"/>
        <v>1</v>
      </c>
      <c r="O962" t="b">
        <f t="shared" si="130"/>
        <v>1</v>
      </c>
      <c r="P962" t="b">
        <f t="shared" si="131"/>
        <v>1</v>
      </c>
      <c r="Q962" t="b">
        <f t="shared" si="132"/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34"/>
        <v>ALL_REGION_NO_REGION</v>
      </c>
      <c r="I963" t="b">
        <f t="shared" si="135"/>
        <v>1</v>
      </c>
      <c r="J963" t="b">
        <f t="shared" si="133"/>
        <v>1</v>
      </c>
      <c r="K963" t="b">
        <f t="shared" ref="K963:K1016" si="137">OR(ISNUMBER(SEARCH("ALL_REGION",$H963)),
ISNUMBER(SEARCH("ALL_EUROPE",$H963)),
ISNUMBER(SEARCH(K$1,$H963)),
ISNUMBER(SEARCH("REGIONTYPE1",$H963)))</f>
        <v>1</v>
      </c>
      <c r="L963" t="b">
        <f t="shared" ref="L963:L1016" si="138">OR(ISNUMBER(SEARCH("ALL_REGION",$H963)),
ISNUMBER(SEARCH("ALL_EUROPE",$H963)),
ISNUMBER(SEARCH(L$1,$H963)),
ISNUMBER(SEARCH("REGIONTYPE1",$H963)),
ISNUMBER(SEARCH("REGIONTYPE4",$H963)),
ISNUMBER(SEARCH("REGIONTYPE5",$H963)))</f>
        <v>1</v>
      </c>
      <c r="M963" t="b">
        <f t="shared" ref="M963:N994" si="139">OR(ISNUMBER(SEARCH("ALL_REGION",$H963)),
ISNUMBER(SEARCH("ALL_EUROPE",$H963)),
ISNUMBER(SEARCH(M$1,$H963)),
ISNUMBER(SEARCH("REGIONTYPE1",$H963)),
ISNUMBER(SEARCH("REGIONTYPE6",$H963)))</f>
        <v>1</v>
      </c>
      <c r="N963" t="b">
        <f t="shared" si="139"/>
        <v>1</v>
      </c>
      <c r="O963" t="b">
        <f t="shared" ref="O963:O1016" si="140">OR(ISNUMBER(SEARCH("ALL_REGION",$H963)),
ISNUMBER(SEARCH("ALL_AMERICA",$H963)),
ISNUMBER(SEARCH(O$1,$H963)),
ISNUMBER(SEARCH("REGIONTYPE2",$H963)))</f>
        <v>1</v>
      </c>
      <c r="P963" t="b">
        <f t="shared" ref="P963:P1016" si="141">OR(ISNUMBER(SEARCH("ALL_REGION",$H963)),
ISNUMBER(SEARCH("ALL_AMERICA",$H963)),
ISNUMBER(SEARCH(P$1,$H963)),
ISNUMBER(SEARCH("REGIONTYPE2",$H963)),
ISNUMBER(SEARCH("REGIONTYPE5",$H963)))</f>
        <v>1</v>
      </c>
      <c r="Q963" t="b">
        <f t="shared" ref="Q963:Q1016" si="142">OR(ISNUMBER(SEARCH("ALL_REGION",$H963)),
ISNUMBER(SEARCH(Q$1,$H963)),
ISNUMBER(SEARCH("REGIONTYPE3",$H963)))</f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34"/>
        <v>ALL_REGION_NO_REGION</v>
      </c>
      <c r="I964" t="b">
        <f t="shared" si="135"/>
        <v>1</v>
      </c>
      <c r="J964" t="b">
        <f t="shared" ref="J964:J1016" si="143">OR(ISNUMBER(SEARCH("ALL_REGION",$H964)),
ISNUMBER(SEARCH("ASIA",$H964)),
ISNUMBER(SEARCH("REGIONTYPE1",$H964)),
ISNUMBER(SEARCH("REGIONTYPE2",$H964)),
ISNUMBER(SEARCH("REGIONTYPE3",$H964)),
ISNUMBER(SEARCH("REGIONTYPE4",$H964)))</f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39"/>
        <v>1</v>
      </c>
      <c r="O964" t="b">
        <f t="shared" si="140"/>
        <v>1</v>
      </c>
      <c r="P964" t="b">
        <f t="shared" si="141"/>
        <v>1</v>
      </c>
      <c r="Q964" t="b">
        <f t="shared" si="142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34"/>
        <v>EASTERN_EUROPE_NO_REGION</v>
      </c>
      <c r="I965" t="b">
        <f t="shared" si="135"/>
        <v>0</v>
      </c>
      <c r="J965" t="b">
        <f t="shared" si="143"/>
        <v>0</v>
      </c>
      <c r="K965" t="b">
        <f t="shared" si="137"/>
        <v>0</v>
      </c>
      <c r="L965" t="b">
        <f t="shared" si="138"/>
        <v>1</v>
      </c>
      <c r="M965" t="b">
        <f t="shared" si="139"/>
        <v>0</v>
      </c>
      <c r="N965" t="b">
        <f t="shared" si="139"/>
        <v>0</v>
      </c>
      <c r="O965" t="b">
        <f t="shared" si="140"/>
        <v>0</v>
      </c>
      <c r="P965" t="b">
        <f t="shared" si="141"/>
        <v>0</v>
      </c>
      <c r="Q965" t="b">
        <f t="shared" si="142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34"/>
        <v>EASTERN_EUROPE_NO_REGION</v>
      </c>
      <c r="I966" t="b">
        <f t="shared" si="135"/>
        <v>0</v>
      </c>
      <c r="J966" t="b">
        <f t="shared" si="143"/>
        <v>0</v>
      </c>
      <c r="K966" t="b">
        <f t="shared" si="137"/>
        <v>0</v>
      </c>
      <c r="L966" t="b">
        <f t="shared" si="138"/>
        <v>1</v>
      </c>
      <c r="M966" t="b">
        <f t="shared" si="139"/>
        <v>0</v>
      </c>
      <c r="N966" t="b">
        <f t="shared" si="139"/>
        <v>0</v>
      </c>
      <c r="O966" t="b">
        <f t="shared" si="140"/>
        <v>0</v>
      </c>
      <c r="P966" t="b">
        <f t="shared" si="141"/>
        <v>0</v>
      </c>
      <c r="Q966" t="b">
        <f t="shared" si="142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34"/>
        <v>EASTERN_EUROPE_NO_REGION</v>
      </c>
      <c r="I967" t="b">
        <f t="shared" si="135"/>
        <v>0</v>
      </c>
      <c r="J967" t="b">
        <f t="shared" si="143"/>
        <v>0</v>
      </c>
      <c r="K967" t="b">
        <f t="shared" si="137"/>
        <v>0</v>
      </c>
      <c r="L967" t="b">
        <f t="shared" si="138"/>
        <v>1</v>
      </c>
      <c r="M967" t="b">
        <f t="shared" si="139"/>
        <v>0</v>
      </c>
      <c r="N967" t="b">
        <f t="shared" si="139"/>
        <v>0</v>
      </c>
      <c r="O967" t="b">
        <f t="shared" si="140"/>
        <v>0</v>
      </c>
      <c r="P967" t="b">
        <f t="shared" si="141"/>
        <v>0</v>
      </c>
      <c r="Q967" t="b">
        <f t="shared" si="142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34"/>
        <v>EASTERN_EUROPE_NO_REGION</v>
      </c>
      <c r="I968" t="b">
        <f t="shared" si="135"/>
        <v>0</v>
      </c>
      <c r="J968" t="b">
        <f t="shared" si="143"/>
        <v>0</v>
      </c>
      <c r="K968" t="b">
        <f t="shared" si="137"/>
        <v>0</v>
      </c>
      <c r="L968" t="b">
        <f t="shared" si="138"/>
        <v>1</v>
      </c>
      <c r="M968" t="b">
        <f t="shared" si="139"/>
        <v>0</v>
      </c>
      <c r="N968" t="b">
        <f t="shared" si="139"/>
        <v>0</v>
      </c>
      <c r="O968" t="b">
        <f t="shared" si="140"/>
        <v>0</v>
      </c>
      <c r="P968" t="b">
        <f t="shared" si="141"/>
        <v>0</v>
      </c>
      <c r="Q968" t="b">
        <f t="shared" si="142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34"/>
        <v>EASTERN_EUROPE_NO_REGION</v>
      </c>
      <c r="I969" t="b">
        <f t="shared" si="135"/>
        <v>0</v>
      </c>
      <c r="J969" t="b">
        <f t="shared" si="143"/>
        <v>0</v>
      </c>
      <c r="K969" t="b">
        <f t="shared" si="137"/>
        <v>0</v>
      </c>
      <c r="L969" t="b">
        <f t="shared" si="138"/>
        <v>1</v>
      </c>
      <c r="M969" t="b">
        <f t="shared" si="139"/>
        <v>0</v>
      </c>
      <c r="N969" t="b">
        <f t="shared" si="139"/>
        <v>0</v>
      </c>
      <c r="O969" t="b">
        <f t="shared" si="140"/>
        <v>0</v>
      </c>
      <c r="P969" t="b">
        <f t="shared" si="141"/>
        <v>0</v>
      </c>
      <c r="Q969" t="b">
        <f t="shared" si="142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34"/>
        <v>SOUTHERN_EUROPE_NO_REGION</v>
      </c>
      <c r="I970" t="b">
        <f t="shared" si="135"/>
        <v>0</v>
      </c>
      <c r="J970" t="b">
        <f t="shared" si="143"/>
        <v>0</v>
      </c>
      <c r="K970" t="b">
        <f t="shared" si="137"/>
        <v>1</v>
      </c>
      <c r="L970" t="b">
        <f t="shared" si="138"/>
        <v>0</v>
      </c>
      <c r="M970" t="b">
        <f t="shared" si="139"/>
        <v>0</v>
      </c>
      <c r="N970" t="b">
        <f t="shared" si="139"/>
        <v>0</v>
      </c>
      <c r="O970" t="b">
        <f t="shared" si="140"/>
        <v>0</v>
      </c>
      <c r="P970" t="b">
        <f t="shared" si="141"/>
        <v>0</v>
      </c>
      <c r="Q970" t="b">
        <f t="shared" si="142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34"/>
        <v>SOUTHERN_EUROPE_NO_REGION</v>
      </c>
      <c r="I971" t="b">
        <f t="shared" si="135"/>
        <v>0</v>
      </c>
      <c r="J971" t="b">
        <f t="shared" si="143"/>
        <v>0</v>
      </c>
      <c r="K971" t="b">
        <f t="shared" si="137"/>
        <v>1</v>
      </c>
      <c r="L971" t="b">
        <f t="shared" si="138"/>
        <v>0</v>
      </c>
      <c r="M971" t="b">
        <f t="shared" si="139"/>
        <v>0</v>
      </c>
      <c r="N971" t="b">
        <f t="shared" si="139"/>
        <v>0</v>
      </c>
      <c r="O971" t="b">
        <f t="shared" si="140"/>
        <v>0</v>
      </c>
      <c r="P971" t="b">
        <f t="shared" si="141"/>
        <v>0</v>
      </c>
      <c r="Q971" t="b">
        <f t="shared" si="142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34"/>
        <v>SOUTHERN_EUROPE_NO_REGION</v>
      </c>
      <c r="I972" t="b">
        <f t="shared" si="135"/>
        <v>0</v>
      </c>
      <c r="J972" t="b">
        <f t="shared" si="143"/>
        <v>0</v>
      </c>
      <c r="K972" t="b">
        <f t="shared" si="137"/>
        <v>1</v>
      </c>
      <c r="L972" t="b">
        <f t="shared" si="138"/>
        <v>0</v>
      </c>
      <c r="M972" t="b">
        <f t="shared" si="139"/>
        <v>0</v>
      </c>
      <c r="N972" t="b">
        <f t="shared" si="139"/>
        <v>0</v>
      </c>
      <c r="O972" t="b">
        <f t="shared" si="140"/>
        <v>0</v>
      </c>
      <c r="P972" t="b">
        <f t="shared" si="141"/>
        <v>0</v>
      </c>
      <c r="Q972" t="b">
        <f t="shared" si="142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34"/>
        <v>SOUTHERN_EUROPE_NO_REGION</v>
      </c>
      <c r="I973" t="b">
        <f t="shared" si="135"/>
        <v>0</v>
      </c>
      <c r="J973" t="b">
        <f t="shared" si="143"/>
        <v>0</v>
      </c>
      <c r="K973" t="b">
        <f t="shared" si="137"/>
        <v>1</v>
      </c>
      <c r="L973" t="b">
        <f t="shared" si="138"/>
        <v>0</v>
      </c>
      <c r="M973" t="b">
        <f t="shared" si="139"/>
        <v>0</v>
      </c>
      <c r="N973" t="b">
        <f t="shared" si="139"/>
        <v>0</v>
      </c>
      <c r="O973" t="b">
        <f t="shared" si="140"/>
        <v>0</v>
      </c>
      <c r="P973" t="b">
        <f t="shared" si="141"/>
        <v>0</v>
      </c>
      <c r="Q973" t="b">
        <f t="shared" si="142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34"/>
        <v>SOUTH_AMERICA_NO_REGION</v>
      </c>
      <c r="I974" t="b">
        <f t="shared" si="135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39"/>
        <v>0</v>
      </c>
      <c r="O974" t="b">
        <f t="shared" si="140"/>
        <v>0</v>
      </c>
      <c r="P974" t="b">
        <f t="shared" si="141"/>
        <v>1</v>
      </c>
      <c r="Q974" t="b">
        <f t="shared" si="142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34"/>
        <v>NORTH_AMERICA_NO_REGION</v>
      </c>
      <c r="I975" t="b">
        <f t="shared" si="135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0</v>
      </c>
      <c r="N975" t="b">
        <f t="shared" si="139"/>
        <v>0</v>
      </c>
      <c r="O975" t="b">
        <f t="shared" si="140"/>
        <v>1</v>
      </c>
      <c r="P975" t="b">
        <f t="shared" si="141"/>
        <v>0</v>
      </c>
      <c r="Q975" t="b">
        <f t="shared" si="142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34"/>
        <v>NORTH_AMERICA_NO_REGION</v>
      </c>
      <c r="I976" t="b">
        <f t="shared" si="135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0</v>
      </c>
      <c r="N976" t="b">
        <f t="shared" si="139"/>
        <v>0</v>
      </c>
      <c r="O976" t="b">
        <f t="shared" si="140"/>
        <v>1</v>
      </c>
      <c r="P976" t="b">
        <f t="shared" si="141"/>
        <v>0</v>
      </c>
      <c r="Q976" t="b">
        <f t="shared" si="142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REGIONTYPE4</v>
      </c>
      <c r="H977" s="31" t="str">
        <f t="shared" si="134"/>
        <v>WESTERN_EUROPE_REGIONTYPE4</v>
      </c>
      <c r="I977" t="b">
        <f t="shared" si="135"/>
        <v>0</v>
      </c>
      <c r="J977" t="b">
        <f t="shared" si="143"/>
        <v>1</v>
      </c>
      <c r="K977" t="b">
        <f t="shared" si="137"/>
        <v>0</v>
      </c>
      <c r="L977" t="b">
        <f t="shared" si="138"/>
        <v>1</v>
      </c>
      <c r="M977" t="b">
        <f t="shared" si="139"/>
        <v>1</v>
      </c>
      <c r="N977" t="b">
        <f t="shared" si="139"/>
        <v>0</v>
      </c>
      <c r="O977" t="b">
        <f t="shared" si="140"/>
        <v>0</v>
      </c>
      <c r="P977" t="b">
        <f t="shared" si="141"/>
        <v>0</v>
      </c>
      <c r="Q977" t="b">
        <f t="shared" si="142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34"/>
        <v>ASIA_NO_REGION</v>
      </c>
      <c r="I978" t="b">
        <f t="shared" si="135"/>
        <v>0</v>
      </c>
      <c r="J978" t="b">
        <f t="shared" si="143"/>
        <v>1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39"/>
        <v>0</v>
      </c>
      <c r="O978" t="b">
        <f t="shared" si="140"/>
        <v>0</v>
      </c>
      <c r="P978" t="b">
        <f t="shared" si="141"/>
        <v>0</v>
      </c>
      <c r="Q978" t="b">
        <f t="shared" si="142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34"/>
        <v>EASTERN_EUROPE_NO_REGION</v>
      </c>
      <c r="I979" t="b">
        <f t="shared" si="135"/>
        <v>0</v>
      </c>
      <c r="J979" t="b">
        <f t="shared" si="143"/>
        <v>0</v>
      </c>
      <c r="K979" t="b">
        <f t="shared" si="137"/>
        <v>0</v>
      </c>
      <c r="L979" t="b">
        <f t="shared" si="138"/>
        <v>1</v>
      </c>
      <c r="M979" t="b">
        <f t="shared" si="139"/>
        <v>0</v>
      </c>
      <c r="N979" t="b">
        <f t="shared" si="139"/>
        <v>0</v>
      </c>
      <c r="O979" t="b">
        <f t="shared" si="140"/>
        <v>0</v>
      </c>
      <c r="P979" t="b">
        <f t="shared" si="141"/>
        <v>0</v>
      </c>
      <c r="Q979" t="b">
        <f t="shared" si="142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34"/>
        <v>EASTERN_EUROPE_WESTERN_EUROPE</v>
      </c>
      <c r="I980" t="b">
        <f t="shared" si="135"/>
        <v>0</v>
      </c>
      <c r="J980" t="b">
        <f t="shared" si="143"/>
        <v>0</v>
      </c>
      <c r="K980" t="b">
        <f t="shared" si="137"/>
        <v>0</v>
      </c>
      <c r="L980" t="b">
        <f t="shared" si="138"/>
        <v>1</v>
      </c>
      <c r="M980" t="b">
        <f t="shared" si="139"/>
        <v>1</v>
      </c>
      <c r="N980" t="b">
        <f t="shared" si="139"/>
        <v>0</v>
      </c>
      <c r="O980" t="b">
        <f t="shared" si="140"/>
        <v>0</v>
      </c>
      <c r="P980" t="b">
        <f t="shared" si="141"/>
        <v>0</v>
      </c>
      <c r="Q980" t="b">
        <f t="shared" si="142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34"/>
        <v>WESTERN_EUROPE_NO_REGION</v>
      </c>
      <c r="I981" t="b">
        <f t="shared" si="135"/>
        <v>0</v>
      </c>
      <c r="J981" t="b">
        <f t="shared" si="143"/>
        <v>0</v>
      </c>
      <c r="K981" t="b">
        <f t="shared" si="137"/>
        <v>0</v>
      </c>
      <c r="L981" t="b">
        <f t="shared" si="138"/>
        <v>0</v>
      </c>
      <c r="M981" t="b">
        <f t="shared" si="139"/>
        <v>1</v>
      </c>
      <c r="N981" t="b">
        <f t="shared" si="139"/>
        <v>0</v>
      </c>
      <c r="O981" t="b">
        <f t="shared" si="140"/>
        <v>0</v>
      </c>
      <c r="P981" t="b">
        <f t="shared" si="141"/>
        <v>0</v>
      </c>
      <c r="Q981" t="b">
        <f t="shared" si="142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34"/>
        <v>EASTERN_EUROPE_NO_REGION</v>
      </c>
      <c r="I982" t="b">
        <f t="shared" si="135"/>
        <v>0</v>
      </c>
      <c r="J982" t="b">
        <f t="shared" si="143"/>
        <v>0</v>
      </c>
      <c r="K982" t="b">
        <f t="shared" si="137"/>
        <v>0</v>
      </c>
      <c r="L982" t="b">
        <f t="shared" si="138"/>
        <v>1</v>
      </c>
      <c r="M982" t="b">
        <f t="shared" si="139"/>
        <v>0</v>
      </c>
      <c r="N982" t="b">
        <f t="shared" si="139"/>
        <v>0</v>
      </c>
      <c r="O982" t="b">
        <f t="shared" si="140"/>
        <v>0</v>
      </c>
      <c r="P982" t="b">
        <f t="shared" si="141"/>
        <v>0</v>
      </c>
      <c r="Q982" t="b">
        <f t="shared" si="142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REGIONTYPE4</v>
      </c>
      <c r="G983" s="31" t="str">
        <f>_xlfn.XLOOKUP($A983,PROPERTIES[VEHIDCODE],PROPERTIES[REGION2])</f>
        <v>NO_REGION</v>
      </c>
      <c r="H983" s="31" t="str">
        <f t="shared" si="134"/>
        <v>REGIONTYPE4_NO_REGION</v>
      </c>
      <c r="I983" t="b">
        <f t="shared" si="135"/>
        <v>0</v>
      </c>
      <c r="J983" t="b">
        <f t="shared" si="143"/>
        <v>1</v>
      </c>
      <c r="K983" t="b">
        <f t="shared" si="137"/>
        <v>0</v>
      </c>
      <c r="L983" t="b">
        <f t="shared" si="138"/>
        <v>1</v>
      </c>
      <c r="M983" t="b">
        <f t="shared" si="139"/>
        <v>0</v>
      </c>
      <c r="N983" t="b">
        <f t="shared" si="139"/>
        <v>0</v>
      </c>
      <c r="O983" t="b">
        <f t="shared" si="140"/>
        <v>0</v>
      </c>
      <c r="P983" t="b">
        <f t="shared" si="141"/>
        <v>0</v>
      </c>
      <c r="Q983" t="b">
        <f t="shared" si="142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34"/>
        <v>WESTERN_EUROPE_NO_REGION</v>
      </c>
      <c r="I984" t="b">
        <f t="shared" si="135"/>
        <v>0</v>
      </c>
      <c r="J984" t="b">
        <f t="shared" si="143"/>
        <v>0</v>
      </c>
      <c r="K984" t="b">
        <f t="shared" si="137"/>
        <v>0</v>
      </c>
      <c r="L984" t="b">
        <f t="shared" si="138"/>
        <v>0</v>
      </c>
      <c r="M984" t="b">
        <f t="shared" si="139"/>
        <v>1</v>
      </c>
      <c r="N984" t="b">
        <f t="shared" si="139"/>
        <v>0</v>
      </c>
      <c r="O984" t="b">
        <f t="shared" si="140"/>
        <v>0</v>
      </c>
      <c r="P984" t="b">
        <f t="shared" si="141"/>
        <v>0</v>
      </c>
      <c r="Q984" t="b">
        <f t="shared" si="142"/>
        <v>0</v>
      </c>
    </row>
    <row r="985" spans="1:17">
      <c r="A985" t="str">
        <v>emu_UK_BR_Class_895</v>
      </c>
      <c r="B985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34"/>
        <v>NORTHERN_EUROPE_NO_REGION</v>
      </c>
      <c r="I985" t="b">
        <f t="shared" si="135"/>
        <v>0</v>
      </c>
      <c r="J985" t="b">
        <f t="shared" si="143"/>
        <v>0</v>
      </c>
      <c r="K985" t="b">
        <f t="shared" si="137"/>
        <v>0</v>
      </c>
      <c r="L985" t="b">
        <f t="shared" si="138"/>
        <v>0</v>
      </c>
      <c r="M985" t="b">
        <f t="shared" si="139"/>
        <v>0</v>
      </c>
      <c r="N985" t="b">
        <f t="shared" si="139"/>
        <v>1</v>
      </c>
      <c r="O985" t="b">
        <f t="shared" si="140"/>
        <v>0</v>
      </c>
      <c r="P985" t="b">
        <f t="shared" si="141"/>
        <v>0</v>
      </c>
      <c r="Q985" t="b">
        <f t="shared" si="142"/>
        <v>0</v>
      </c>
    </row>
    <row r="986" spans="1:17">
      <c r="B986" t="e" cm="1">
        <f t="array" ref="B986">_xlfn.XLOOKUP(A986,CONTROL[VEHIDCODE],PROPERTIES[EXCLUDE])</f>
        <v>#N/A</v>
      </c>
      <c r="C986" t="e">
        <f>_xlfn.XLOOKUP(A986,CONTROL[VEHIDCODE],CONTROL[IS_WAGON_OR_COACH])</f>
        <v>#N/A</v>
      </c>
      <c r="D986" t="e">
        <f>FLOOR(_xlfn.XLOOKUP($A986,PROPERTIES[VEHIDCODE],PROPERTIES[INTRODUCTION_YEAR]),20)</f>
        <v>#N/A</v>
      </c>
      <c r="E986" t="e">
        <f>_xlfn.XLOOKUP($A986,PROPERTIES[VEHIDCODE],PROPERTIES[ROLE])</f>
        <v>#N/A</v>
      </c>
      <c r="F986" s="31" t="e">
        <f>_xlfn.XLOOKUP($A986,PROPERTIES[VEHIDCODE],PROPERTIES[REGION1])</f>
        <v>#N/A</v>
      </c>
      <c r="G986" s="31" t="e">
        <f>_xlfn.XLOOKUP($A986,PROPERTIES[VEHIDCODE],PROPERTIES[REGION2])</f>
        <v>#N/A</v>
      </c>
      <c r="H986" s="31" t="e">
        <f t="shared" si="134"/>
        <v>#N/A</v>
      </c>
      <c r="I986" t="b">
        <f t="shared" si="135"/>
        <v>0</v>
      </c>
      <c r="J986" t="b">
        <f t="shared" si="143"/>
        <v>0</v>
      </c>
      <c r="K986" t="b">
        <f t="shared" si="137"/>
        <v>0</v>
      </c>
      <c r="L986" t="b">
        <f t="shared" si="138"/>
        <v>0</v>
      </c>
      <c r="M986" t="b">
        <f t="shared" si="139"/>
        <v>0</v>
      </c>
      <c r="N986" t="b">
        <f t="shared" si="139"/>
        <v>0</v>
      </c>
      <c r="O986" t="b">
        <f t="shared" si="140"/>
        <v>0</v>
      </c>
      <c r="P986" t="b">
        <f t="shared" si="141"/>
        <v>0</v>
      </c>
      <c r="Q986" t="b">
        <f t="shared" si="142"/>
        <v>0</v>
      </c>
    </row>
    <row r="987" spans="1:17">
      <c r="B987" t="e" cm="1">
        <f t="array" ref="B987">_xlfn.XLOOKUP(A987,CONTROL[VEHIDCODE],PROPERTIES[EXCLUDE])</f>
        <v>#N/A</v>
      </c>
      <c r="C987" t="e">
        <f>_xlfn.XLOOKUP(A987,CONTROL[VEHIDCODE],CONTROL[IS_WAGON_OR_COACH])</f>
        <v>#N/A</v>
      </c>
      <c r="D987" t="e">
        <f>FLOOR(_xlfn.XLOOKUP($A987,PROPERTIES[VEHIDCODE],PROPERTIES[INTRODUCTION_YEAR]),20)</f>
        <v>#N/A</v>
      </c>
      <c r="E987" t="e">
        <f>_xlfn.XLOOKUP($A987,PROPERTIES[VEHIDCODE],PROPERTIES[ROLE])</f>
        <v>#N/A</v>
      </c>
      <c r="F987" s="31" t="e">
        <f>_xlfn.XLOOKUP($A987,PROPERTIES[VEHIDCODE],PROPERTIES[REGION1])</f>
        <v>#N/A</v>
      </c>
      <c r="G987" s="31" t="e">
        <f>_xlfn.XLOOKUP($A987,PROPERTIES[VEHIDCODE],PROPERTIES[REGION2])</f>
        <v>#N/A</v>
      </c>
      <c r="H987" s="31" t="e">
        <f t="shared" si="134"/>
        <v>#N/A</v>
      </c>
      <c r="I987" t="b">
        <f t="shared" si="135"/>
        <v>0</v>
      </c>
      <c r="J987" t="b">
        <f t="shared" si="143"/>
        <v>0</v>
      </c>
      <c r="K987" t="b">
        <f t="shared" si="137"/>
        <v>0</v>
      </c>
      <c r="L987" t="b">
        <f t="shared" si="138"/>
        <v>0</v>
      </c>
      <c r="M987" t="b">
        <f t="shared" si="139"/>
        <v>0</v>
      </c>
      <c r="N987" t="b">
        <f t="shared" si="139"/>
        <v>0</v>
      </c>
      <c r="O987" t="b">
        <f t="shared" si="140"/>
        <v>0</v>
      </c>
      <c r="P987" t="b">
        <f t="shared" si="141"/>
        <v>0</v>
      </c>
      <c r="Q987" t="b">
        <f t="shared" si="142"/>
        <v>0</v>
      </c>
    </row>
    <row r="988" spans="1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1" t="e">
        <f>_xlfn.XLOOKUP($A988,PROPERTIES[VEHIDCODE],PROPERTIES[REGION1])</f>
        <v>#N/A</v>
      </c>
      <c r="G988" s="31" t="e">
        <f>_xlfn.XLOOKUP($A988,PROPERTIES[VEHIDCODE],PROPERTIES[REGION2])</f>
        <v>#N/A</v>
      </c>
      <c r="H988" s="31" t="e">
        <f t="shared" si="134"/>
        <v>#N/A</v>
      </c>
      <c r="I988" t="b">
        <f t="shared" si="135"/>
        <v>0</v>
      </c>
      <c r="J988" t="b">
        <f t="shared" si="143"/>
        <v>0</v>
      </c>
      <c r="K988" t="b">
        <f t="shared" si="137"/>
        <v>0</v>
      </c>
      <c r="L988" t="b">
        <f t="shared" si="138"/>
        <v>0</v>
      </c>
      <c r="M988" t="b">
        <f t="shared" si="139"/>
        <v>0</v>
      </c>
      <c r="N988" t="b">
        <f t="shared" si="139"/>
        <v>0</v>
      </c>
      <c r="O988" t="b">
        <f t="shared" si="140"/>
        <v>0</v>
      </c>
      <c r="P988" t="b">
        <f t="shared" si="141"/>
        <v>0</v>
      </c>
      <c r="Q988" t="b">
        <f t="shared" si="142"/>
        <v>0</v>
      </c>
    </row>
    <row r="989" spans="1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1" t="e">
        <f>_xlfn.XLOOKUP($A989,PROPERTIES[VEHIDCODE],PROPERTIES[REGION1])</f>
        <v>#N/A</v>
      </c>
      <c r="G989" s="31" t="e">
        <f>_xlfn.XLOOKUP($A989,PROPERTIES[VEHIDCODE],PROPERTIES[REGION2])</f>
        <v>#N/A</v>
      </c>
      <c r="H989" s="31" t="e">
        <f t="shared" si="134"/>
        <v>#N/A</v>
      </c>
      <c r="I989" t="b">
        <f t="shared" si="135"/>
        <v>0</v>
      </c>
      <c r="J989" t="b">
        <f t="shared" si="143"/>
        <v>0</v>
      </c>
      <c r="K989" t="b">
        <f t="shared" si="137"/>
        <v>0</v>
      </c>
      <c r="L989" t="b">
        <f t="shared" si="138"/>
        <v>0</v>
      </c>
      <c r="M989" t="b">
        <f t="shared" si="139"/>
        <v>0</v>
      </c>
      <c r="N989" t="b">
        <f t="shared" si="139"/>
        <v>0</v>
      </c>
      <c r="O989" t="b">
        <f t="shared" si="140"/>
        <v>0</v>
      </c>
      <c r="P989" t="b">
        <f t="shared" si="141"/>
        <v>0</v>
      </c>
      <c r="Q989" t="b">
        <f t="shared" si="142"/>
        <v>0</v>
      </c>
    </row>
    <row r="990" spans="1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1" t="e">
        <f>_xlfn.XLOOKUP($A990,PROPERTIES[VEHIDCODE],PROPERTIES[REGION1])</f>
        <v>#N/A</v>
      </c>
      <c r="G990" s="31" t="e">
        <f>_xlfn.XLOOKUP($A990,PROPERTIES[VEHIDCODE],PROPERTIES[REGION2])</f>
        <v>#N/A</v>
      </c>
      <c r="H990" s="31" t="e">
        <f t="shared" si="134"/>
        <v>#N/A</v>
      </c>
      <c r="I990" t="b">
        <f t="shared" si="135"/>
        <v>0</v>
      </c>
      <c r="J990" t="b">
        <f t="shared" si="143"/>
        <v>0</v>
      </c>
      <c r="K990" t="b">
        <f t="shared" si="137"/>
        <v>0</v>
      </c>
      <c r="L990" t="b">
        <f t="shared" si="138"/>
        <v>0</v>
      </c>
      <c r="M990" t="b">
        <f t="shared" si="139"/>
        <v>0</v>
      </c>
      <c r="N990" t="b">
        <f t="shared" si="139"/>
        <v>0</v>
      </c>
      <c r="O990" t="b">
        <f t="shared" si="140"/>
        <v>0</v>
      </c>
      <c r="P990" t="b">
        <f t="shared" si="141"/>
        <v>0</v>
      </c>
      <c r="Q990" t="b">
        <f t="shared" si="142"/>
        <v>0</v>
      </c>
    </row>
    <row r="991" spans="1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1" t="e">
        <f>_xlfn.XLOOKUP($A991,PROPERTIES[VEHIDCODE],PROPERTIES[REGION1])</f>
        <v>#N/A</v>
      </c>
      <c r="G991" s="31" t="e">
        <f>_xlfn.XLOOKUP($A991,PROPERTIES[VEHIDCODE],PROPERTIES[REGION2])</f>
        <v>#N/A</v>
      </c>
      <c r="H991" s="31" t="e">
        <f t="shared" si="134"/>
        <v>#N/A</v>
      </c>
      <c r="I991" t="b">
        <f t="shared" si="135"/>
        <v>0</v>
      </c>
      <c r="J991" t="b">
        <f t="shared" si="143"/>
        <v>0</v>
      </c>
      <c r="K991" t="b">
        <f t="shared" si="137"/>
        <v>0</v>
      </c>
      <c r="L991" t="b">
        <f t="shared" si="138"/>
        <v>0</v>
      </c>
      <c r="M991" t="b">
        <f t="shared" si="139"/>
        <v>0</v>
      </c>
      <c r="N991" t="b">
        <f t="shared" si="139"/>
        <v>0</v>
      </c>
      <c r="O991" t="b">
        <f t="shared" si="140"/>
        <v>0</v>
      </c>
      <c r="P991" t="b">
        <f t="shared" si="141"/>
        <v>0</v>
      </c>
      <c r="Q991" t="b">
        <f t="shared" si="142"/>
        <v>0</v>
      </c>
    </row>
    <row r="992" spans="1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1" t="e">
        <f>_xlfn.XLOOKUP($A992,PROPERTIES[VEHIDCODE],PROPERTIES[REGION1])</f>
        <v>#N/A</v>
      </c>
      <c r="G992" s="31" t="e">
        <f>_xlfn.XLOOKUP($A992,PROPERTIES[VEHIDCODE],PROPERTIES[REGION2])</f>
        <v>#N/A</v>
      </c>
      <c r="H992" s="31" t="e">
        <f t="shared" si="134"/>
        <v>#N/A</v>
      </c>
      <c r="I992" t="b">
        <f t="shared" si="135"/>
        <v>0</v>
      </c>
      <c r="J992" t="b">
        <f t="shared" si="143"/>
        <v>0</v>
      </c>
      <c r="K992" t="b">
        <f t="shared" si="137"/>
        <v>0</v>
      </c>
      <c r="L992" t="b">
        <f t="shared" si="138"/>
        <v>0</v>
      </c>
      <c r="M992" t="b">
        <f t="shared" si="139"/>
        <v>0</v>
      </c>
      <c r="N992" t="b">
        <f t="shared" si="139"/>
        <v>0</v>
      </c>
      <c r="O992" t="b">
        <f t="shared" si="140"/>
        <v>0</v>
      </c>
      <c r="P992" t="b">
        <f t="shared" si="141"/>
        <v>0</v>
      </c>
      <c r="Q992" t="b">
        <f t="shared" si="142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34"/>
        <v>#N/A</v>
      </c>
      <c r="I993" t="b">
        <f t="shared" si="135"/>
        <v>0</v>
      </c>
      <c r="J993" t="b">
        <f t="shared" si="143"/>
        <v>0</v>
      </c>
      <c r="K993" t="b">
        <f t="shared" si="137"/>
        <v>0</v>
      </c>
      <c r="L993" t="b">
        <f t="shared" si="138"/>
        <v>0</v>
      </c>
      <c r="M993" t="b">
        <f t="shared" si="139"/>
        <v>0</v>
      </c>
      <c r="N993" t="b">
        <f t="shared" si="139"/>
        <v>0</v>
      </c>
      <c r="O993" t="b">
        <f t="shared" si="140"/>
        <v>0</v>
      </c>
      <c r="P993" t="b">
        <f t="shared" si="141"/>
        <v>0</v>
      </c>
      <c r="Q993" t="b">
        <f t="shared" si="142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34"/>
        <v>#N/A</v>
      </c>
      <c r="I994" t="b">
        <f t="shared" si="135"/>
        <v>0</v>
      </c>
      <c r="J994" t="b">
        <f t="shared" si="143"/>
        <v>0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39"/>
        <v>0</v>
      </c>
      <c r="O994" t="b">
        <f t="shared" si="140"/>
        <v>0</v>
      </c>
      <c r="P994" t="b">
        <f t="shared" si="141"/>
        <v>0</v>
      </c>
      <c r="Q994" t="b">
        <f t="shared" si="142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34"/>
        <v>#N/A</v>
      </c>
      <c r="I995" t="b">
        <f t="shared" si="135"/>
        <v>0</v>
      </c>
      <c r="J995" t="b">
        <f t="shared" si="143"/>
        <v>0</v>
      </c>
      <c r="K995" t="b">
        <f t="shared" si="137"/>
        <v>0</v>
      </c>
      <c r="L995" t="b">
        <f t="shared" si="138"/>
        <v>0</v>
      </c>
      <c r="M995" t="b">
        <f t="shared" ref="M995:N1016" si="144">OR(ISNUMBER(SEARCH("ALL_REGION",$H995)),
ISNUMBER(SEARCH("ALL_EUROPE",$H995)),
ISNUMBER(SEARCH(M$1,$H995)),
ISNUMBER(SEARCH("REGIONTYPE1",$H995)),
ISNUMBER(SEARCH("REGIONTYPE6",$H995)))</f>
        <v>0</v>
      </c>
      <c r="N995" t="b">
        <f t="shared" si="144"/>
        <v>0</v>
      </c>
      <c r="O995" t="b">
        <f t="shared" si="140"/>
        <v>0</v>
      </c>
      <c r="P995" t="b">
        <f t="shared" si="141"/>
        <v>0</v>
      </c>
      <c r="Q995" t="b">
        <f t="shared" si="142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34"/>
        <v>#N/A</v>
      </c>
      <c r="I996" t="b">
        <f t="shared" si="135"/>
        <v>0</v>
      </c>
      <c r="J996" t="b">
        <f t="shared" si="143"/>
        <v>0</v>
      </c>
      <c r="K996" t="b">
        <f t="shared" si="137"/>
        <v>0</v>
      </c>
      <c r="L996" t="b">
        <f t="shared" si="138"/>
        <v>0</v>
      </c>
      <c r="M996" t="b">
        <f t="shared" si="144"/>
        <v>0</v>
      </c>
      <c r="N996" t="b">
        <f t="shared" si="144"/>
        <v>0</v>
      </c>
      <c r="O996" t="b">
        <f t="shared" si="140"/>
        <v>0</v>
      </c>
      <c r="P996" t="b">
        <f t="shared" si="141"/>
        <v>0</v>
      </c>
      <c r="Q996" t="b">
        <f t="shared" si="142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34"/>
        <v>#N/A</v>
      </c>
      <c r="I997" t="b">
        <f t="shared" si="135"/>
        <v>0</v>
      </c>
      <c r="J997" t="b">
        <f t="shared" si="143"/>
        <v>0</v>
      </c>
      <c r="K997" t="b">
        <f t="shared" si="137"/>
        <v>0</v>
      </c>
      <c r="L997" t="b">
        <f t="shared" si="138"/>
        <v>0</v>
      </c>
      <c r="M997" t="b">
        <f t="shared" si="144"/>
        <v>0</v>
      </c>
      <c r="N997" t="b">
        <f t="shared" si="144"/>
        <v>0</v>
      </c>
      <c r="O997" t="b">
        <f t="shared" si="140"/>
        <v>0</v>
      </c>
      <c r="P997" t="b">
        <f t="shared" si="141"/>
        <v>0</v>
      </c>
      <c r="Q997" t="b">
        <f t="shared" si="142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34"/>
        <v>#N/A</v>
      </c>
      <c r="I998" t="b">
        <f t="shared" si="135"/>
        <v>0</v>
      </c>
      <c r="J998" t="b">
        <f t="shared" si="143"/>
        <v>0</v>
      </c>
      <c r="K998" t="b">
        <f t="shared" si="137"/>
        <v>0</v>
      </c>
      <c r="L998" t="b">
        <f t="shared" si="138"/>
        <v>0</v>
      </c>
      <c r="M998" t="b">
        <f t="shared" si="144"/>
        <v>0</v>
      </c>
      <c r="N998" t="b">
        <f t="shared" si="144"/>
        <v>0</v>
      </c>
      <c r="O998" t="b">
        <f t="shared" si="140"/>
        <v>0</v>
      </c>
      <c r="P998" t="b">
        <f t="shared" si="141"/>
        <v>0</v>
      </c>
      <c r="Q998" t="b">
        <f t="shared" si="142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34"/>
        <v>#N/A</v>
      </c>
      <c r="I999" t="b">
        <f t="shared" si="135"/>
        <v>0</v>
      </c>
      <c r="J999" t="b">
        <f t="shared" si="143"/>
        <v>0</v>
      </c>
      <c r="K999" t="b">
        <f t="shared" si="137"/>
        <v>0</v>
      </c>
      <c r="L999" t="b">
        <f t="shared" si="138"/>
        <v>0</v>
      </c>
      <c r="M999" t="b">
        <f t="shared" si="144"/>
        <v>0</v>
      </c>
      <c r="N999" t="b">
        <f t="shared" si="144"/>
        <v>0</v>
      </c>
      <c r="O999" t="b">
        <f t="shared" si="140"/>
        <v>0</v>
      </c>
      <c r="P999" t="b">
        <f t="shared" si="141"/>
        <v>0</v>
      </c>
      <c r="Q999" t="b">
        <f t="shared" si="142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34"/>
        <v>#N/A</v>
      </c>
      <c r="I1000" t="b">
        <f t="shared" si="135"/>
        <v>0</v>
      </c>
      <c r="J1000" t="b">
        <f t="shared" si="143"/>
        <v>0</v>
      </c>
      <c r="K1000" t="b">
        <f t="shared" si="137"/>
        <v>0</v>
      </c>
      <c r="L1000" t="b">
        <f t="shared" si="138"/>
        <v>0</v>
      </c>
      <c r="M1000" t="b">
        <f t="shared" si="144"/>
        <v>0</v>
      </c>
      <c r="N1000" t="b">
        <f t="shared" si="144"/>
        <v>0</v>
      </c>
      <c r="O1000" t="b">
        <f t="shared" si="140"/>
        <v>0</v>
      </c>
      <c r="P1000" t="b">
        <f t="shared" si="141"/>
        <v>0</v>
      </c>
      <c r="Q1000" t="b">
        <f t="shared" si="142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34"/>
        <v>#N/A</v>
      </c>
      <c r="I1001" t="b">
        <f t="shared" si="135"/>
        <v>0</v>
      </c>
      <c r="J1001" t="b">
        <f t="shared" si="143"/>
        <v>0</v>
      </c>
      <c r="K1001" t="b">
        <f t="shared" si="137"/>
        <v>0</v>
      </c>
      <c r="L1001" t="b">
        <f t="shared" si="138"/>
        <v>0</v>
      </c>
      <c r="M1001" t="b">
        <f t="shared" si="144"/>
        <v>0</v>
      </c>
      <c r="N1001" t="b">
        <f t="shared" si="144"/>
        <v>0</v>
      </c>
      <c r="O1001" t="b">
        <f t="shared" si="140"/>
        <v>0</v>
      </c>
      <c r="P1001" t="b">
        <f t="shared" si="141"/>
        <v>0</v>
      </c>
      <c r="Q1001" t="b">
        <f t="shared" si="142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34"/>
        <v>#N/A</v>
      </c>
      <c r="I1002" t="b">
        <f t="shared" si="135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44"/>
        <v>0</v>
      </c>
      <c r="N1002" t="b">
        <f t="shared" si="144"/>
        <v>0</v>
      </c>
      <c r="O1002" t="b">
        <f t="shared" si="140"/>
        <v>0</v>
      </c>
      <c r="P1002" t="b">
        <f t="shared" si="141"/>
        <v>0</v>
      </c>
      <c r="Q1002" t="b">
        <f t="shared" si="142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34"/>
        <v>#N/A</v>
      </c>
      <c r="I1003" t="b">
        <f t="shared" si="135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44"/>
        <v>0</v>
      </c>
      <c r="N1003" t="b">
        <f t="shared" si="144"/>
        <v>0</v>
      </c>
      <c r="O1003" t="b">
        <f t="shared" si="140"/>
        <v>0</v>
      </c>
      <c r="P1003" t="b">
        <f t="shared" si="141"/>
        <v>0</v>
      </c>
      <c r="Q1003" t="b">
        <f t="shared" si="142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34"/>
        <v>#N/A</v>
      </c>
      <c r="I1004" t="b">
        <f t="shared" si="135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44"/>
        <v>0</v>
      </c>
      <c r="N1004" t="b">
        <f t="shared" si="144"/>
        <v>0</v>
      </c>
      <c r="O1004" t="b">
        <f t="shared" si="140"/>
        <v>0</v>
      </c>
      <c r="P1004" t="b">
        <f t="shared" si="141"/>
        <v>0</v>
      </c>
      <c r="Q1004" t="b">
        <f t="shared" si="142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34"/>
        <v>#N/A</v>
      </c>
      <c r="I1005" t="b">
        <f t="shared" si="135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44"/>
        <v>0</v>
      </c>
      <c r="N1005" t="b">
        <f t="shared" si="144"/>
        <v>0</v>
      </c>
      <c r="O1005" t="b">
        <f t="shared" si="140"/>
        <v>0</v>
      </c>
      <c r="P1005" t="b">
        <f t="shared" si="141"/>
        <v>0</v>
      </c>
      <c r="Q1005" t="b">
        <f t="shared" si="142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34"/>
        <v>#N/A</v>
      </c>
      <c r="I1006" t="b">
        <f t="shared" si="135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44"/>
        <v>0</v>
      </c>
      <c r="N1006" t="b">
        <f t="shared" si="144"/>
        <v>0</v>
      </c>
      <c r="O1006" t="b">
        <f t="shared" si="140"/>
        <v>0</v>
      </c>
      <c r="P1006" t="b">
        <f t="shared" si="141"/>
        <v>0</v>
      </c>
      <c r="Q1006" t="b">
        <f t="shared" si="142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34"/>
        <v>#N/A</v>
      </c>
      <c r="I1007" t="b">
        <f t="shared" si="135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44"/>
        <v>0</v>
      </c>
      <c r="N1007" t="b">
        <f t="shared" si="144"/>
        <v>0</v>
      </c>
      <c r="O1007" t="b">
        <f t="shared" si="140"/>
        <v>0</v>
      </c>
      <c r="P1007" t="b">
        <f t="shared" si="141"/>
        <v>0</v>
      </c>
      <c r="Q1007" t="b">
        <f t="shared" si="142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34"/>
        <v>#N/A</v>
      </c>
      <c r="I1008" t="b">
        <f t="shared" si="135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44"/>
        <v>0</v>
      </c>
      <c r="N1008" t="b">
        <f t="shared" si="144"/>
        <v>0</v>
      </c>
      <c r="O1008" t="b">
        <f t="shared" si="140"/>
        <v>0</v>
      </c>
      <c r="P1008" t="b">
        <f t="shared" si="141"/>
        <v>0</v>
      </c>
      <c r="Q1008" t="b">
        <f t="shared" si="142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34"/>
        <v>#N/A</v>
      </c>
      <c r="I1009" t="b">
        <f t="shared" si="135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44"/>
        <v>0</v>
      </c>
      <c r="N1009" t="b">
        <f t="shared" si="144"/>
        <v>0</v>
      </c>
      <c r="O1009" t="b">
        <f t="shared" si="140"/>
        <v>0</v>
      </c>
      <c r="P1009" t="b">
        <f t="shared" si="141"/>
        <v>0</v>
      </c>
      <c r="Q1009" t="b">
        <f t="shared" si="142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34"/>
        <v>#N/A</v>
      </c>
      <c r="I1010" t="b">
        <f t="shared" si="135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44"/>
        <v>0</v>
      </c>
      <c r="N1010" t="b">
        <f t="shared" si="144"/>
        <v>0</v>
      </c>
      <c r="O1010" t="b">
        <f t="shared" si="140"/>
        <v>0</v>
      </c>
      <c r="P1010" t="b">
        <f t="shared" si="141"/>
        <v>0</v>
      </c>
      <c r="Q1010" t="b">
        <f t="shared" si="142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34"/>
        <v>#N/A</v>
      </c>
      <c r="I1011" t="b">
        <f t="shared" si="135"/>
        <v>0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44"/>
        <v>0</v>
      </c>
      <c r="N1011" t="b">
        <f t="shared" si="144"/>
        <v>0</v>
      </c>
      <c r="O1011" t="b">
        <f t="shared" si="140"/>
        <v>0</v>
      </c>
      <c r="P1011" t="b">
        <f t="shared" si="141"/>
        <v>0</v>
      </c>
      <c r="Q1011" t="b">
        <f t="shared" si="142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34"/>
        <v>#N/A</v>
      </c>
      <c r="I1012" t="b">
        <f t="shared" si="135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44"/>
        <v>0</v>
      </c>
      <c r="N1012" t="b">
        <f t="shared" si="144"/>
        <v>0</v>
      </c>
      <c r="O1012" t="b">
        <f t="shared" si="140"/>
        <v>0</v>
      </c>
      <c r="P1012" t="b">
        <f t="shared" si="141"/>
        <v>0</v>
      </c>
      <c r="Q1012" t="b">
        <f t="shared" si="142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34"/>
        <v>#N/A</v>
      </c>
      <c r="I1013" t="b">
        <f t="shared" si="135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44"/>
        <v>0</v>
      </c>
      <c r="N1013" t="b">
        <f t="shared" si="144"/>
        <v>0</v>
      </c>
      <c r="O1013" t="b">
        <f t="shared" si="140"/>
        <v>0</v>
      </c>
      <c r="P1013" t="b">
        <f t="shared" si="141"/>
        <v>0</v>
      </c>
      <c r="Q1013" t="b">
        <f t="shared" si="142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34"/>
        <v>#N/A</v>
      </c>
      <c r="I1014" t="b">
        <f t="shared" si="135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44"/>
        <v>0</v>
      </c>
      <c r="N1014" t="b">
        <f t="shared" si="144"/>
        <v>0</v>
      </c>
      <c r="O1014" t="b">
        <f t="shared" si="140"/>
        <v>0</v>
      </c>
      <c r="P1014" t="b">
        <f t="shared" si="141"/>
        <v>0</v>
      </c>
      <c r="Q1014" t="b">
        <f t="shared" si="142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34"/>
        <v>#N/A</v>
      </c>
      <c r="I1015" t="b">
        <f t="shared" si="135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44"/>
        <v>0</v>
      </c>
      <c r="N1015" t="b">
        <f t="shared" si="144"/>
        <v>0</v>
      </c>
      <c r="O1015" t="b">
        <f t="shared" si="140"/>
        <v>0</v>
      </c>
      <c r="P1015" t="b">
        <f t="shared" si="141"/>
        <v>0</v>
      </c>
      <c r="Q1015" t="b">
        <f t="shared" si="142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34"/>
        <v>#N/A</v>
      </c>
      <c r="I1016" t="b">
        <f t="shared" si="135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44"/>
        <v>0</v>
      </c>
      <c r="N1016" t="b">
        <f t="shared" si="144"/>
        <v>0</v>
      </c>
      <c r="O1016" t="b">
        <f t="shared" si="140"/>
        <v>0</v>
      </c>
      <c r="P1016" t="b">
        <f t="shared" si="141"/>
        <v>0</v>
      </c>
      <c r="Q1016" t="b">
        <f t="shared" si="142"/>
        <v>0</v>
      </c>
    </row>
  </sheetData>
  <autoFilter ref="A1:Q1016" xr:uid="{94AF2F1A-9287-4526-9497-B34C300AF4DB}"/>
  <conditionalFormatting sqref="B2:C1016">
    <cfRule type="containsText" dxfId="38" priority="2" operator="containsText" text="FALSE">
      <formula>NOT(ISERROR(SEARCH("FALSE",B2)))</formula>
    </cfRule>
  </conditionalFormatting>
  <conditionalFormatting sqref="I1:I813 J795:K813 I814:K1048576">
    <cfRule type="containsText" dxfId="37" priority="59" operator="containsText" text="FALSE">
      <formula>NOT(ISERROR(SEARCH("FALSE",I1)))</formula>
    </cfRule>
  </conditionalFormatting>
  <conditionalFormatting sqref="J1:K792">
    <cfRule type="containsText" dxfId="36" priority="58" operator="containsText" text="FALSE">
      <formula>NOT(ISERROR(SEARCH("FALSE",J1)))</formula>
    </cfRule>
  </conditionalFormatting>
  <conditionalFormatting sqref="J2:Q1016">
    <cfRule type="containsText" dxfId="35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7" width="25" bestFit="1" customWidth="1"/>
    <col min="18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43" t="s">
        <v>872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3400</v>
      </c>
    </row>
    <row r="7" spans="1:18">
      <c r="A7" s="1" t="s">
        <v>3272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3273</v>
      </c>
      <c r="F8">
        <v>1</v>
      </c>
      <c r="H8">
        <v>2</v>
      </c>
      <c r="I8">
        <v>3</v>
      </c>
      <c r="L8">
        <v>6</v>
      </c>
    </row>
    <row r="9" spans="1:18">
      <c r="A9" s="1" t="s">
        <v>3276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2865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3277</v>
      </c>
      <c r="H11">
        <v>1</v>
      </c>
      <c r="I11">
        <v>1</v>
      </c>
      <c r="L11">
        <v>2</v>
      </c>
    </row>
    <row r="12" spans="1:18">
      <c r="A12" s="1" t="s">
        <v>3274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2866</v>
      </c>
      <c r="J13">
        <v>1</v>
      </c>
      <c r="K13">
        <v>1</v>
      </c>
      <c r="L13">
        <v>2</v>
      </c>
    </row>
    <row r="14" spans="1:18">
      <c r="A14" t="s">
        <v>2869</v>
      </c>
      <c r="I14">
        <v>1</v>
      </c>
      <c r="L14">
        <v>1</v>
      </c>
    </row>
    <row r="15" spans="1:18">
      <c r="A15" s="1" t="s">
        <v>3275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3400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30" t="s">
        <v>874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3400</v>
      </c>
    </row>
    <row r="7" spans="1:18">
      <c r="A7" s="1" t="s">
        <v>3272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3273</v>
      </c>
      <c r="H8">
        <v>2</v>
      </c>
      <c r="J8">
        <v>1</v>
      </c>
      <c r="M8">
        <v>3</v>
      </c>
    </row>
    <row r="9" spans="1:18">
      <c r="A9" s="1" t="s">
        <v>3276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2865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3277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3274</v>
      </c>
      <c r="F12">
        <v>3</v>
      </c>
      <c r="M12">
        <v>3</v>
      </c>
    </row>
    <row r="13" spans="1:18">
      <c r="A13" s="1" t="s">
        <v>2866</v>
      </c>
      <c r="K13">
        <v>1</v>
      </c>
      <c r="L13">
        <v>1</v>
      </c>
      <c r="M13">
        <v>2</v>
      </c>
    </row>
    <row r="14" spans="1:18">
      <c r="A14" t="s">
        <v>2869</v>
      </c>
      <c r="J14">
        <v>1</v>
      </c>
      <c r="M14">
        <v>1</v>
      </c>
    </row>
    <row r="15" spans="1:18">
      <c r="A15" s="1" t="s">
        <v>3275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3400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8" sqref="B8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3.3828125" bestFit="1" customWidth="1"/>
    <col min="15" max="15" width="10.4609375" bestFit="1" customWidth="1"/>
    <col min="16" max="66" width="25" bestFit="1" customWidth="1"/>
    <col min="67" max="67" width="10.4609375" bestFit="1" customWidth="1"/>
  </cols>
  <sheetData>
    <row r="1" spans="1:67">
      <c r="A1" s="30" t="s">
        <v>3392</v>
      </c>
      <c r="B1" t="s">
        <v>3399</v>
      </c>
    </row>
    <row r="2" spans="1:67">
      <c r="A2" s="30" t="s">
        <v>888</v>
      </c>
      <c r="B2" t="s">
        <v>3399</v>
      </c>
    </row>
    <row r="3" spans="1:67">
      <c r="A3" s="43" t="s">
        <v>876</v>
      </c>
      <c r="B3" t="s">
        <v>2872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2867</v>
      </c>
      <c r="B5" s="43" t="s">
        <v>2870</v>
      </c>
    </row>
    <row r="6" spans="1:67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3400</v>
      </c>
    </row>
    <row r="7" spans="1:67">
      <c r="A7" s="1" t="s">
        <v>3272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3044</v>
      </c>
      <c r="H8">
        <v>1</v>
      </c>
      <c r="M8">
        <v>1</v>
      </c>
    </row>
    <row r="9" spans="1:67">
      <c r="A9" s="1" t="s">
        <v>3276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2865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3277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3274</v>
      </c>
      <c r="B12">
        <v>3</v>
      </c>
      <c r="C12">
        <v>2</v>
      </c>
      <c r="M12">
        <v>5</v>
      </c>
    </row>
    <row r="13" spans="1:67">
      <c r="A13" s="1" t="s">
        <v>2866</v>
      </c>
      <c r="K13">
        <v>1</v>
      </c>
      <c r="L13">
        <v>1</v>
      </c>
      <c r="M13">
        <v>2</v>
      </c>
    </row>
    <row r="14" spans="1:67">
      <c r="A14" t="s">
        <v>2869</v>
      </c>
      <c r="J14">
        <v>1</v>
      </c>
      <c r="M14">
        <v>1</v>
      </c>
    </row>
    <row r="15" spans="1:67">
      <c r="A15" s="1" t="s">
        <v>3275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3400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3" width="10.15234375" bestFit="1" customWidth="1"/>
    <col min="14" max="14" width="10.4609375" bestFit="1" customWidth="1"/>
    <col min="15" max="17" width="8.07421875" bestFit="1" customWidth="1"/>
    <col min="18" max="19" width="10.4609375" bestFit="1" customWidth="1"/>
  </cols>
  <sheetData>
    <row r="1" spans="1:19">
      <c r="A1" s="30" t="s">
        <v>3392</v>
      </c>
      <c r="B1" t="s">
        <v>3399</v>
      </c>
    </row>
    <row r="2" spans="1:19">
      <c r="A2" s="43" t="s">
        <v>877</v>
      </c>
      <c r="B2" t="s">
        <v>2872</v>
      </c>
    </row>
    <row r="3" spans="1:19">
      <c r="A3" s="30" t="s">
        <v>888</v>
      </c>
      <c r="B3" t="s">
        <v>3399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2867</v>
      </c>
      <c r="B5" s="43" t="s">
        <v>2870</v>
      </c>
    </row>
    <row r="6" spans="1:19">
      <c r="A6" s="30" t="s">
        <v>2215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3400</v>
      </c>
    </row>
    <row r="7" spans="1:19">
      <c r="A7" s="1" t="s">
        <v>3272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3273</v>
      </c>
      <c r="G8">
        <v>4</v>
      </c>
      <c r="H8">
        <v>5</v>
      </c>
      <c r="I8">
        <v>3</v>
      </c>
      <c r="L8">
        <v>12</v>
      </c>
    </row>
    <row r="9" spans="1:19">
      <c r="A9" s="1" t="s">
        <v>3276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3278</v>
      </c>
      <c r="I10">
        <v>1</v>
      </c>
      <c r="L10">
        <v>1</v>
      </c>
    </row>
    <row r="11" spans="1:19">
      <c r="A11" s="1" t="s">
        <v>2865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3277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3274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2866</v>
      </c>
      <c r="I14">
        <v>2</v>
      </c>
      <c r="J14">
        <v>2</v>
      </c>
      <c r="K14">
        <v>1</v>
      </c>
      <c r="L14">
        <v>5</v>
      </c>
    </row>
    <row r="15" spans="1:19" ht="29.15">
      <c r="A15" s="1" t="s">
        <v>2869</v>
      </c>
      <c r="H15">
        <v>1</v>
      </c>
      <c r="I15">
        <v>1</v>
      </c>
      <c r="L15">
        <v>2</v>
      </c>
    </row>
    <row r="16" spans="1:19">
      <c r="A16" s="1" t="s">
        <v>3275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3400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E10" sqref="E10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2.23046875" bestFit="1" customWidth="1"/>
    <col min="15" max="15" width="10.4609375" bestFit="1" customWidth="1"/>
    <col min="16" max="16" width="8.07421875" bestFit="1" customWidth="1"/>
    <col min="17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43" t="s">
        <v>871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3400</v>
      </c>
    </row>
    <row r="7" spans="1:18">
      <c r="A7" s="1" t="s">
        <v>3272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3273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3276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2865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3277</v>
      </c>
      <c r="H11">
        <v>1</v>
      </c>
      <c r="M11">
        <v>1</v>
      </c>
    </row>
    <row r="12" spans="1:18">
      <c r="A12" s="1" t="s">
        <v>3274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2866</v>
      </c>
      <c r="I13">
        <v>1</v>
      </c>
      <c r="K13">
        <v>1</v>
      </c>
      <c r="L13">
        <v>1</v>
      </c>
      <c r="M13">
        <v>3</v>
      </c>
    </row>
    <row r="14" spans="1:18" ht="29.15">
      <c r="A14" s="1" t="s">
        <v>2869</v>
      </c>
      <c r="J14">
        <v>2</v>
      </c>
      <c r="M14">
        <v>2</v>
      </c>
    </row>
    <row r="15" spans="1:18">
      <c r="A15" s="1" t="s">
        <v>3275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3400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C16" sqref="C16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3" width="4.84375" bestFit="1" customWidth="1"/>
    <col min="14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3392</v>
      </c>
      <c r="B1" t="s">
        <v>3399</v>
      </c>
    </row>
    <row r="2" spans="1:20">
      <c r="A2" s="30" t="s">
        <v>888</v>
      </c>
      <c r="B2" t="s">
        <v>3399</v>
      </c>
    </row>
    <row r="3" spans="1:20">
      <c r="A3" s="43" t="s">
        <v>869</v>
      </c>
      <c r="B3" t="s">
        <v>2872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2867</v>
      </c>
      <c r="B5" s="43" t="s">
        <v>2870</v>
      </c>
    </row>
    <row r="6" spans="1:20">
      <c r="A6" s="30" t="s">
        <v>2215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3400</v>
      </c>
    </row>
    <row r="7" spans="1:20">
      <c r="A7" s="1" t="s">
        <v>3272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3273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3276</v>
      </c>
      <c r="I9">
        <v>5</v>
      </c>
      <c r="J9">
        <v>5</v>
      </c>
      <c r="K9">
        <v>2</v>
      </c>
      <c r="N9">
        <v>12</v>
      </c>
    </row>
    <row r="10" spans="1:20">
      <c r="A10" s="1" t="s">
        <v>3278</v>
      </c>
      <c r="J10">
        <v>1</v>
      </c>
      <c r="N10">
        <v>1</v>
      </c>
    </row>
    <row r="11" spans="1:20">
      <c r="A11" s="1" t="s">
        <v>2865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2868</v>
      </c>
      <c r="E12">
        <v>1</v>
      </c>
      <c r="N12">
        <v>1</v>
      </c>
    </row>
    <row r="13" spans="1:20">
      <c r="A13" s="1" t="s">
        <v>3277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3274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2866</v>
      </c>
      <c r="K15">
        <v>2</v>
      </c>
      <c r="L15">
        <v>2</v>
      </c>
      <c r="M15">
        <v>1</v>
      </c>
      <c r="N15">
        <v>5</v>
      </c>
    </row>
    <row r="16" spans="1:20" ht="29.15">
      <c r="A16" s="1" t="s">
        <v>2869</v>
      </c>
      <c r="J16">
        <v>2</v>
      </c>
      <c r="K16">
        <v>1</v>
      </c>
      <c r="N16">
        <v>3</v>
      </c>
    </row>
    <row r="17" spans="1:14">
      <c r="A17" s="1" t="s">
        <v>3275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3400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tabSelected="1" workbookViewId="0">
      <selection activeCell="I13" sqref="I13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3392</v>
      </c>
      <c r="B1" t="s">
        <v>3399</v>
      </c>
    </row>
    <row r="2" spans="1:20">
      <c r="A2" s="30" t="s">
        <v>888</v>
      </c>
      <c r="B2" t="s">
        <v>3399</v>
      </c>
    </row>
    <row r="3" spans="1:20">
      <c r="A3" s="30" t="s">
        <v>873</v>
      </c>
      <c r="B3" t="s">
        <v>2872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2867</v>
      </c>
      <c r="B5" s="43" t="s">
        <v>2870</v>
      </c>
    </row>
    <row r="6" spans="1:20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3400</v>
      </c>
    </row>
    <row r="7" spans="1:20">
      <c r="A7" s="1" t="s">
        <v>3272</v>
      </c>
      <c r="B7" s="46"/>
      <c r="C7" s="46"/>
      <c r="D7" s="46">
        <v>1</v>
      </c>
      <c r="E7" s="46"/>
      <c r="F7" s="46">
        <v>4</v>
      </c>
      <c r="G7" s="46">
        <v>3</v>
      </c>
      <c r="H7" s="46">
        <v>2</v>
      </c>
      <c r="I7" s="46">
        <v>4</v>
      </c>
      <c r="J7" s="46">
        <v>3</v>
      </c>
      <c r="K7" s="46"/>
      <c r="L7" s="46"/>
      <c r="M7" s="46">
        <v>17</v>
      </c>
    </row>
    <row r="8" spans="1:20">
      <c r="A8" s="1" t="s">
        <v>3273</v>
      </c>
      <c r="B8" s="46"/>
      <c r="C8" s="46"/>
      <c r="D8" s="46"/>
      <c r="E8" s="46"/>
      <c r="F8" s="46"/>
      <c r="G8" s="46"/>
      <c r="H8" s="46">
        <v>1</v>
      </c>
      <c r="I8" s="46">
        <v>3</v>
      </c>
      <c r="J8" s="46">
        <v>1</v>
      </c>
      <c r="K8" s="46"/>
      <c r="L8" s="46"/>
      <c r="M8" s="46">
        <v>5</v>
      </c>
    </row>
    <row r="9" spans="1:20">
      <c r="A9" s="1" t="s">
        <v>3276</v>
      </c>
      <c r="B9" s="46">
        <v>1</v>
      </c>
      <c r="C9" s="46"/>
      <c r="D9" s="46"/>
      <c r="E9" s="46"/>
      <c r="F9" s="46">
        <v>4</v>
      </c>
      <c r="G9" s="46">
        <v>1</v>
      </c>
      <c r="H9" s="46">
        <v>2</v>
      </c>
      <c r="I9" s="46">
        <v>3</v>
      </c>
      <c r="J9" s="46">
        <v>1</v>
      </c>
      <c r="K9" s="46"/>
      <c r="L9" s="46"/>
      <c r="M9" s="46">
        <v>12</v>
      </c>
    </row>
    <row r="10" spans="1:20">
      <c r="A10" s="1" t="s">
        <v>2865</v>
      </c>
      <c r="B10" s="46"/>
      <c r="C10" s="46"/>
      <c r="D10" s="46"/>
      <c r="E10" s="46"/>
      <c r="F10" s="46"/>
      <c r="G10" s="46">
        <v>1</v>
      </c>
      <c r="H10" s="46"/>
      <c r="I10" s="46"/>
      <c r="J10" s="46">
        <v>2</v>
      </c>
      <c r="K10" s="46"/>
      <c r="L10" s="46"/>
      <c r="M10" s="46">
        <v>3</v>
      </c>
    </row>
    <row r="11" spans="1:20">
      <c r="A11" s="1" t="s">
        <v>3277</v>
      </c>
      <c r="B11" s="46"/>
      <c r="C11" s="46"/>
      <c r="D11" s="46"/>
      <c r="E11" s="46">
        <v>1</v>
      </c>
      <c r="F11" s="46">
        <v>1</v>
      </c>
      <c r="G11" s="46">
        <v>1</v>
      </c>
      <c r="H11" s="46">
        <v>4</v>
      </c>
      <c r="I11" s="46">
        <v>2</v>
      </c>
      <c r="J11" s="46">
        <v>2</v>
      </c>
      <c r="K11" s="46"/>
      <c r="L11" s="46"/>
      <c r="M11" s="46">
        <v>11</v>
      </c>
    </row>
    <row r="12" spans="1:20">
      <c r="A12" s="1" t="s">
        <v>3274</v>
      </c>
      <c r="B12" s="46"/>
      <c r="C12" s="46">
        <v>1</v>
      </c>
      <c r="D12" s="46">
        <v>1</v>
      </c>
      <c r="E12" s="46">
        <v>3</v>
      </c>
      <c r="F12" s="46">
        <v>3</v>
      </c>
      <c r="G12" s="46"/>
      <c r="H12" s="46">
        <v>1</v>
      </c>
      <c r="I12" s="46"/>
      <c r="J12" s="46"/>
      <c r="K12" s="46"/>
      <c r="L12" s="46"/>
      <c r="M12" s="46">
        <v>9</v>
      </c>
    </row>
    <row r="13" spans="1:20">
      <c r="A13" s="1" t="s">
        <v>2866</v>
      </c>
      <c r="B13" s="46"/>
      <c r="C13" s="46"/>
      <c r="D13" s="46"/>
      <c r="E13" s="46"/>
      <c r="F13" s="46"/>
      <c r="G13" s="46"/>
      <c r="H13" s="46"/>
      <c r="I13" s="46">
        <v>1</v>
      </c>
      <c r="J13" s="46"/>
      <c r="K13" s="46">
        <v>2</v>
      </c>
      <c r="L13" s="46">
        <v>1</v>
      </c>
      <c r="M13" s="46">
        <v>4</v>
      </c>
    </row>
    <row r="14" spans="1:20" ht="29.15">
      <c r="A14" s="1" t="s">
        <v>2869</v>
      </c>
      <c r="B14" s="46"/>
      <c r="C14" s="46"/>
      <c r="D14" s="46"/>
      <c r="E14" s="46"/>
      <c r="F14" s="46"/>
      <c r="G14" s="46"/>
      <c r="H14" s="46"/>
      <c r="I14" s="46"/>
      <c r="J14" s="46">
        <v>1</v>
      </c>
      <c r="K14" s="46"/>
      <c r="L14" s="46"/>
      <c r="M14" s="46">
        <v>1</v>
      </c>
    </row>
    <row r="15" spans="1:20">
      <c r="A15" s="1" t="s">
        <v>3275</v>
      </c>
      <c r="B15" s="46"/>
      <c r="C15" s="46">
        <v>1</v>
      </c>
      <c r="D15" s="46"/>
      <c r="E15" s="46">
        <v>3</v>
      </c>
      <c r="F15" s="46">
        <v>4</v>
      </c>
      <c r="G15" s="46">
        <v>6</v>
      </c>
      <c r="H15" s="46">
        <v>3</v>
      </c>
      <c r="I15" s="46">
        <v>6</v>
      </c>
      <c r="J15" s="46">
        <v>1</v>
      </c>
      <c r="K15" s="46"/>
      <c r="L15" s="46"/>
      <c r="M15" s="46">
        <v>24</v>
      </c>
    </row>
    <row r="16" spans="1:20">
      <c r="A16" t="s">
        <v>3400</v>
      </c>
      <c r="B16" s="46">
        <v>1</v>
      </c>
      <c r="C16" s="46">
        <v>2</v>
      </c>
      <c r="D16" s="46">
        <v>2</v>
      </c>
      <c r="E16" s="46">
        <v>7</v>
      </c>
      <c r="F16" s="46">
        <v>16</v>
      </c>
      <c r="G16" s="46">
        <v>12</v>
      </c>
      <c r="H16" s="46">
        <v>13</v>
      </c>
      <c r="I16" s="46">
        <v>19</v>
      </c>
      <c r="J16" s="46">
        <v>11</v>
      </c>
      <c r="K16" s="46">
        <v>2</v>
      </c>
      <c r="L16" s="46">
        <v>1</v>
      </c>
      <c r="M16" s="4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9" sqref="B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67" width="26.84375" bestFit="1" customWidth="1"/>
    <col min="68" max="68" width="10.4609375" bestFit="1" customWidth="1"/>
  </cols>
  <sheetData>
    <row r="1" spans="1:68">
      <c r="A1" s="30" t="s">
        <v>3392</v>
      </c>
      <c r="B1" t="s">
        <v>3399</v>
      </c>
    </row>
    <row r="2" spans="1:68">
      <c r="A2" s="30" t="s">
        <v>888</v>
      </c>
      <c r="B2" t="s">
        <v>3399</v>
      </c>
    </row>
    <row r="3" spans="1:68">
      <c r="A3" s="43" t="s">
        <v>875</v>
      </c>
      <c r="B3" t="s">
        <v>2872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2867</v>
      </c>
      <c r="B5" s="43" t="s">
        <v>2870</v>
      </c>
    </row>
    <row r="6" spans="1:68">
      <c r="A6" s="30" t="s">
        <v>2215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3400</v>
      </c>
    </row>
    <row r="7" spans="1:68">
      <c r="A7" s="1" t="s">
        <v>3272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3273</v>
      </c>
      <c r="G8">
        <v>1</v>
      </c>
      <c r="H8">
        <v>2</v>
      </c>
      <c r="K8">
        <v>3</v>
      </c>
    </row>
    <row r="9" spans="1:68">
      <c r="A9" s="1" t="s">
        <v>3276</v>
      </c>
      <c r="D9">
        <v>1</v>
      </c>
      <c r="G9">
        <v>2</v>
      </c>
      <c r="H9">
        <v>3</v>
      </c>
      <c r="K9">
        <v>6</v>
      </c>
    </row>
    <row r="10" spans="1:68">
      <c r="A10" s="1" t="s">
        <v>2865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3277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3274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2866</v>
      </c>
      <c r="I13">
        <v>2</v>
      </c>
      <c r="J13">
        <v>1</v>
      </c>
      <c r="K13">
        <v>3</v>
      </c>
    </row>
    <row r="14" spans="1:68">
      <c r="A14" t="s">
        <v>2869</v>
      </c>
      <c r="H14">
        <v>1</v>
      </c>
      <c r="K14">
        <v>1</v>
      </c>
    </row>
    <row r="15" spans="1:68">
      <c r="A15" s="1" t="s">
        <v>3275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3400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43" t="s">
        <v>870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3400</v>
      </c>
    </row>
    <row r="7" spans="1:18">
      <c r="A7" s="1" t="s">
        <v>3272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3273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3276</v>
      </c>
      <c r="F9">
        <v>1</v>
      </c>
      <c r="G9">
        <v>3</v>
      </c>
      <c r="H9">
        <v>1</v>
      </c>
      <c r="K9">
        <v>5</v>
      </c>
    </row>
    <row r="10" spans="1:18">
      <c r="A10" s="1" t="s">
        <v>2865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3277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3274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2866</v>
      </c>
      <c r="H13">
        <v>2</v>
      </c>
      <c r="I13">
        <v>2</v>
      </c>
      <c r="J13">
        <v>1</v>
      </c>
      <c r="K13">
        <v>5</v>
      </c>
    </row>
    <row r="14" spans="1:18">
      <c r="A14" t="s">
        <v>2869</v>
      </c>
      <c r="H14">
        <v>1</v>
      </c>
      <c r="K14">
        <v>1</v>
      </c>
    </row>
    <row r="15" spans="1:18">
      <c r="A15" s="1" t="s">
        <v>3275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3400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18" sqref="A18"/>
    </sheetView>
  </sheetViews>
  <sheetFormatPr defaultRowHeight="14.6"/>
  <cols>
    <col min="1" max="1" width="17.69140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69140625" bestFit="1" customWidth="1"/>
    <col min="14" max="14" width="38.53515625" bestFit="1" customWidth="1"/>
    <col min="17" max="17" width="17.4609375" customWidth="1"/>
  </cols>
  <sheetData>
    <row r="1" spans="1:17">
      <c r="A1" t="s">
        <v>884</v>
      </c>
      <c r="C1" t="s">
        <v>885</v>
      </c>
      <c r="E1" s="11" t="s">
        <v>938</v>
      </c>
      <c r="G1" s="11" t="s">
        <v>939</v>
      </c>
      <c r="I1" t="s">
        <v>3</v>
      </c>
      <c r="K1" t="s">
        <v>937</v>
      </c>
      <c r="M1" s="20" t="s">
        <v>2197</v>
      </c>
      <c r="N1" s="20" t="s">
        <v>2198</v>
      </c>
      <c r="O1" s="21" t="s">
        <v>2910</v>
      </c>
      <c r="Q1" s="1" t="s">
        <v>1</v>
      </c>
    </row>
    <row r="2" spans="1:17">
      <c r="A2" t="s">
        <v>872</v>
      </c>
      <c r="C2" t="s">
        <v>886</v>
      </c>
      <c r="E2" t="s">
        <v>964</v>
      </c>
      <c r="G2" t="s">
        <v>965</v>
      </c>
      <c r="I2" t="s">
        <v>21</v>
      </c>
      <c r="K2" s="18" t="s">
        <v>897</v>
      </c>
      <c r="M2" s="21" t="s">
        <v>1951</v>
      </c>
      <c r="N2" s="21" t="s">
        <v>1700</v>
      </c>
      <c r="O2" s="21">
        <f>COUNTIF(COUNTRIES[COUNTRY_LABEL],COUNTRIES[[#This Row],[COUNTRY_LABEL]])</f>
        <v>1</v>
      </c>
      <c r="Q2" t="s">
        <v>591</v>
      </c>
    </row>
    <row r="3" spans="1:17">
      <c r="A3" t="s">
        <v>881</v>
      </c>
      <c r="C3" t="s">
        <v>887</v>
      </c>
      <c r="E3" t="s">
        <v>948</v>
      </c>
      <c r="G3" t="s">
        <v>949</v>
      </c>
      <c r="I3" t="s">
        <v>31</v>
      </c>
      <c r="K3" s="18" t="s">
        <v>900</v>
      </c>
      <c r="M3" s="21" t="s">
        <v>1963</v>
      </c>
      <c r="N3" s="21" t="s">
        <v>1712</v>
      </c>
      <c r="O3" s="21">
        <f>COUNTIF(COUNTRIES[COUNTRY_LABEL],COUNTRIES[[#This Row],[COUNTRY_LABEL]])</f>
        <v>1</v>
      </c>
      <c r="Q3" t="s">
        <v>2911</v>
      </c>
    </row>
    <row r="4" spans="1:17">
      <c r="A4" t="s">
        <v>878</v>
      </c>
      <c r="E4" t="s">
        <v>942</v>
      </c>
      <c r="G4" t="s">
        <v>943</v>
      </c>
      <c r="I4" t="s">
        <v>70</v>
      </c>
      <c r="K4" s="18" t="s">
        <v>901</v>
      </c>
      <c r="M4" s="21" t="s">
        <v>1954</v>
      </c>
      <c r="N4" s="21" t="s">
        <v>1703</v>
      </c>
      <c r="O4" s="21">
        <f>COUNTIF(COUNTRIES[COUNTRY_LABEL],COUNTRIES[[#This Row],[COUNTRY_LABEL]])</f>
        <v>1</v>
      </c>
      <c r="Q4" t="s">
        <v>2914</v>
      </c>
    </row>
    <row r="5" spans="1:17">
      <c r="A5" t="s">
        <v>882</v>
      </c>
      <c r="E5" t="s">
        <v>954</v>
      </c>
      <c r="G5" t="s">
        <v>955</v>
      </c>
      <c r="I5" t="s">
        <v>18</v>
      </c>
      <c r="K5" s="18" t="s">
        <v>903</v>
      </c>
      <c r="M5" s="21" t="s">
        <v>2010</v>
      </c>
      <c r="N5" s="21" t="s">
        <v>1759</v>
      </c>
      <c r="O5" s="21">
        <f>COUNTIF(COUNTRIES[COUNTRY_LABEL],COUNTRIES[[#This Row],[COUNTRY_LABEL]])</f>
        <v>1</v>
      </c>
      <c r="Q5" t="s">
        <v>592</v>
      </c>
    </row>
    <row r="6" spans="1:17">
      <c r="A6" t="s">
        <v>877</v>
      </c>
      <c r="E6" t="s">
        <v>952</v>
      </c>
      <c r="G6" t="s">
        <v>953</v>
      </c>
      <c r="K6" s="18" t="s">
        <v>905</v>
      </c>
      <c r="M6" s="21" t="s">
        <v>1959</v>
      </c>
      <c r="N6" s="21" t="s">
        <v>1708</v>
      </c>
      <c r="O6" s="21">
        <f>COUNTIF(COUNTRIES[COUNTRY_LABEL],COUNTRIES[[#This Row],[COUNTRY_LABEL]])</f>
        <v>1</v>
      </c>
      <c r="Q6" t="s">
        <v>593</v>
      </c>
    </row>
    <row r="7" spans="1:17">
      <c r="A7" t="s">
        <v>875</v>
      </c>
      <c r="E7" t="s">
        <v>944</v>
      </c>
      <c r="G7" t="s">
        <v>945</v>
      </c>
      <c r="K7" s="18" t="s">
        <v>907</v>
      </c>
      <c r="M7" s="21" t="s">
        <v>1949</v>
      </c>
      <c r="N7" s="21" t="s">
        <v>1698</v>
      </c>
      <c r="O7" s="21">
        <f>COUNTIF(COUNTRIES[COUNTRY_LABEL],COUNTRIES[[#This Row],[COUNTRY_LABEL]])</f>
        <v>1</v>
      </c>
      <c r="Q7" t="s">
        <v>526</v>
      </c>
    </row>
    <row r="8" spans="1:17">
      <c r="A8" t="s">
        <v>868</v>
      </c>
      <c r="E8" t="s">
        <v>956</v>
      </c>
      <c r="G8" t="s">
        <v>957</v>
      </c>
      <c r="K8" s="19" t="s">
        <v>909</v>
      </c>
      <c r="M8" s="21" t="s">
        <v>1956</v>
      </c>
      <c r="N8" s="21" t="s">
        <v>1705</v>
      </c>
      <c r="O8" s="21">
        <f>COUNTIF(COUNTRIES[COUNTRY_LABEL],COUNTRIES[[#This Row],[COUNTRY_LABEL]])</f>
        <v>1</v>
      </c>
      <c r="Q8" t="s">
        <v>594</v>
      </c>
    </row>
    <row r="9" spans="1:17">
      <c r="A9" t="s">
        <v>874</v>
      </c>
      <c r="E9" t="s">
        <v>3312</v>
      </c>
      <c r="G9" t="s">
        <v>3313</v>
      </c>
      <c r="K9" s="19" t="s">
        <v>911</v>
      </c>
      <c r="M9" s="21" t="s">
        <v>1953</v>
      </c>
      <c r="N9" s="21" t="s">
        <v>1702</v>
      </c>
      <c r="O9" s="21">
        <f>COUNTIF(COUNTRIES[COUNTRY_LABEL],COUNTRIES[[#This Row],[COUNTRY_LABEL]])</f>
        <v>1</v>
      </c>
      <c r="Q9" t="s">
        <v>595</v>
      </c>
    </row>
    <row r="10" spans="1:17">
      <c r="A10" t="s">
        <v>873</v>
      </c>
      <c r="E10" t="s">
        <v>960</v>
      </c>
      <c r="G10" t="s">
        <v>961</v>
      </c>
      <c r="K10" s="19" t="s">
        <v>913</v>
      </c>
      <c r="M10" s="21" t="s">
        <v>1957</v>
      </c>
      <c r="N10" s="21" t="s">
        <v>1706</v>
      </c>
      <c r="O10" s="21">
        <f>COUNTIF(COUNTRIES[COUNTRY_LABEL],COUNTRIES[[#This Row],[COUNTRY_LABEL]])</f>
        <v>1</v>
      </c>
      <c r="Q10" t="s">
        <v>596</v>
      </c>
    </row>
    <row r="11" spans="1:17">
      <c r="A11" t="s">
        <v>871</v>
      </c>
      <c r="E11" t="s">
        <v>2993</v>
      </c>
      <c r="G11" t="s">
        <v>2994</v>
      </c>
      <c r="K11" s="19" t="s">
        <v>3315</v>
      </c>
      <c r="M11" s="21" t="s">
        <v>1952</v>
      </c>
      <c r="N11" s="21" t="s">
        <v>1701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879</v>
      </c>
      <c r="E12" t="s">
        <v>950</v>
      </c>
      <c r="G12" t="s">
        <v>951</v>
      </c>
      <c r="K12" s="18" t="s">
        <v>916</v>
      </c>
      <c r="M12" s="21" t="s">
        <v>1958</v>
      </c>
      <c r="N12" s="21" t="s">
        <v>1707</v>
      </c>
      <c r="O12" s="21">
        <f>COUNTIF(COUNTRIES[COUNTRY_LABEL],COUNTRIES[[#This Row],[COUNTRY_LABEL]])</f>
        <v>1</v>
      </c>
      <c r="Q12" t="s">
        <v>597</v>
      </c>
    </row>
    <row r="13" spans="1:17">
      <c r="A13" t="s">
        <v>880</v>
      </c>
      <c r="E13" t="s">
        <v>958</v>
      </c>
      <c r="G13" t="s">
        <v>959</v>
      </c>
      <c r="K13" s="18" t="s">
        <v>918</v>
      </c>
      <c r="M13" s="21" t="s">
        <v>1955</v>
      </c>
      <c r="N13" s="21" t="s">
        <v>1704</v>
      </c>
      <c r="O13" s="21">
        <f>COUNTIF(COUNTRIES[COUNTRY_LABEL],COUNTRIES[[#This Row],[COUNTRY_LABEL]])</f>
        <v>1</v>
      </c>
      <c r="Q13" t="s">
        <v>598</v>
      </c>
    </row>
    <row r="14" spans="1:17">
      <c r="A14" t="s">
        <v>883</v>
      </c>
      <c r="E14" t="s">
        <v>946</v>
      </c>
      <c r="G14" t="s">
        <v>947</v>
      </c>
      <c r="K14" s="19" t="s">
        <v>929</v>
      </c>
      <c r="M14" s="21" t="s">
        <v>1962</v>
      </c>
      <c r="N14" s="21" t="s">
        <v>1711</v>
      </c>
      <c r="O14" s="21">
        <f>COUNTIF(COUNTRIES[COUNTRY_LABEL],COUNTRIES[[#This Row],[COUNTRY_LABEL]])</f>
        <v>1</v>
      </c>
      <c r="Q14" t="s">
        <v>2912</v>
      </c>
    </row>
    <row r="15" spans="1:17">
      <c r="A15" t="s">
        <v>3514</v>
      </c>
      <c r="E15" t="s">
        <v>940</v>
      </c>
      <c r="G15" t="s">
        <v>941</v>
      </c>
      <c r="K15" s="18" t="s">
        <v>930</v>
      </c>
      <c r="M15" s="21" t="s">
        <v>1961</v>
      </c>
      <c r="N15" s="21" t="s">
        <v>1710</v>
      </c>
      <c r="O15" s="21">
        <f>COUNTIF(COUNTRIES[COUNTRY_LABEL],COUNTRIES[[#This Row],[COUNTRY_LABEL]])</f>
        <v>1</v>
      </c>
      <c r="Q15" t="s">
        <v>2915</v>
      </c>
    </row>
    <row r="16" spans="1:17">
      <c r="A16" t="s">
        <v>3515</v>
      </c>
      <c r="E16" t="s">
        <v>962</v>
      </c>
      <c r="G16" t="s">
        <v>963</v>
      </c>
      <c r="K16" s="18" t="s">
        <v>931</v>
      </c>
      <c r="M16" s="21" t="s">
        <v>1960</v>
      </c>
      <c r="N16" s="21" t="s">
        <v>1709</v>
      </c>
      <c r="O16" s="21">
        <f>COUNTIF(COUNTRIES[COUNTRY_LABEL],COUNTRIES[[#This Row],[COUNTRY_LABEL]])</f>
        <v>1</v>
      </c>
      <c r="Q16" t="s">
        <v>3011</v>
      </c>
    </row>
    <row r="17" spans="1:17">
      <c r="A17" t="s">
        <v>3517</v>
      </c>
      <c r="K17" s="19" t="s">
        <v>932</v>
      </c>
      <c r="M17" s="21" t="s">
        <v>1964</v>
      </c>
      <c r="N17" s="21" t="s">
        <v>1713</v>
      </c>
      <c r="O17" s="21">
        <f>COUNTIF(COUNTRIES[COUNTRY_LABEL],COUNTRIES[[#This Row],[COUNTRY_LABEL]])</f>
        <v>1</v>
      </c>
      <c r="Q17" t="s">
        <v>665</v>
      </c>
    </row>
    <row r="18" spans="1:17">
      <c r="A18" t="s">
        <v>876</v>
      </c>
      <c r="K18" s="19" t="s">
        <v>923</v>
      </c>
      <c r="M18" s="21" t="s">
        <v>1980</v>
      </c>
      <c r="N18" s="21" t="s">
        <v>1729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870</v>
      </c>
      <c r="K19" s="19" t="s">
        <v>924</v>
      </c>
      <c r="M19" s="21" t="s">
        <v>1971</v>
      </c>
      <c r="N19" s="21" t="s">
        <v>1720</v>
      </c>
      <c r="O19" s="21">
        <f>COUNTIF(COUNTRIES[COUNTRY_LABEL],COUNTRIES[[#This Row],[COUNTRY_LABEL]])</f>
        <v>1</v>
      </c>
      <c r="Q19" t="s">
        <v>664</v>
      </c>
    </row>
    <row r="20" spans="1:17">
      <c r="A20" t="s">
        <v>869</v>
      </c>
      <c r="K20" s="19" t="s">
        <v>2996</v>
      </c>
      <c r="M20" s="21" t="s">
        <v>1967</v>
      </c>
      <c r="N20" s="21" t="s">
        <v>1716</v>
      </c>
      <c r="O20" s="21">
        <f>COUNTIF(COUNTRIES[COUNTRY_LABEL],COUNTRIES[[#This Row],[COUNTRY_LABEL]])</f>
        <v>1</v>
      </c>
      <c r="Q20" t="s">
        <v>17</v>
      </c>
    </row>
    <row r="21" spans="1:17">
      <c r="K21" s="19" t="s">
        <v>925</v>
      </c>
      <c r="M21" s="21" t="s">
        <v>1966</v>
      </c>
      <c r="N21" s="21" t="s">
        <v>1715</v>
      </c>
      <c r="O21" s="21">
        <f>COUNTIF(COUNTRIES[COUNTRY_LABEL],COUNTRIES[[#This Row],[COUNTRY_LABEL]])</f>
        <v>1</v>
      </c>
      <c r="Q21" t="s">
        <v>320</v>
      </c>
    </row>
    <row r="22" spans="1:17">
      <c r="K22" s="19" t="s">
        <v>927</v>
      </c>
      <c r="M22" s="21" t="s">
        <v>1984</v>
      </c>
      <c r="N22" s="21" t="s">
        <v>1733</v>
      </c>
      <c r="O22" s="21">
        <f>COUNTIF(COUNTRIES[COUNTRY_LABEL],COUNTRIES[[#This Row],[COUNTRY_LABEL]])</f>
        <v>1</v>
      </c>
      <c r="Q22" t="s">
        <v>599</v>
      </c>
    </row>
    <row r="23" spans="1:17">
      <c r="K23" s="19" t="s">
        <v>920</v>
      </c>
      <c r="M23" s="21" t="s">
        <v>1968</v>
      </c>
      <c r="N23" s="21" t="s">
        <v>1717</v>
      </c>
      <c r="O23" s="21">
        <f>COUNTIF(COUNTRIES[COUNTRY_LABEL],COUNTRIES[[#This Row],[COUNTRY_LABEL]])</f>
        <v>1</v>
      </c>
      <c r="Q23" t="s">
        <v>2913</v>
      </c>
    </row>
    <row r="24" spans="1:17">
      <c r="K24" s="19" t="s">
        <v>2735</v>
      </c>
      <c r="M24" s="21" t="s">
        <v>1985</v>
      </c>
      <c r="N24" s="21" t="s">
        <v>1734</v>
      </c>
      <c r="O24" s="21">
        <f>COUNTIF(COUNTRIES[COUNTRY_LABEL],COUNTRIES[[#This Row],[COUNTRY_LABEL]])</f>
        <v>1</v>
      </c>
      <c r="Q24" t="s">
        <v>2916</v>
      </c>
    </row>
    <row r="25" spans="1:17">
      <c r="M25" s="21" t="s">
        <v>1973</v>
      </c>
      <c r="N25" s="21" t="s">
        <v>1722</v>
      </c>
      <c r="O25" s="21">
        <f>COUNTIF(COUNTRIES[COUNTRY_LABEL],COUNTRIES[[#This Row],[COUNTRY_LABEL]])</f>
        <v>1</v>
      </c>
      <c r="Q25" t="s">
        <v>600</v>
      </c>
    </row>
    <row r="26" spans="1:17">
      <c r="M26" s="21" t="s">
        <v>1975</v>
      </c>
      <c r="N26" s="21" t="s">
        <v>1724</v>
      </c>
      <c r="O26" s="21">
        <f>COUNTIF(COUNTRIES[COUNTRY_LABEL],COUNTRIES[[#This Row],[COUNTRY_LABEL]])</f>
        <v>1</v>
      </c>
      <c r="Q26" t="s">
        <v>601</v>
      </c>
    </row>
    <row r="27" spans="1:17">
      <c r="M27" s="21" t="s">
        <v>1981</v>
      </c>
      <c r="N27" s="21" t="s">
        <v>1730</v>
      </c>
      <c r="O27" s="21">
        <f>COUNTIF(COUNTRIES[COUNTRY_LABEL],COUNTRIES[[#This Row],[COUNTRY_LABEL]])</f>
        <v>1</v>
      </c>
    </row>
    <row r="28" spans="1:17">
      <c r="M28" s="21" t="s">
        <v>1977</v>
      </c>
      <c r="N28" s="21" t="s">
        <v>1726</v>
      </c>
      <c r="O28" s="21">
        <f>COUNTIF(COUNTRIES[COUNTRY_LABEL],COUNTRIES[[#This Row],[COUNTRY_LABEL]])</f>
        <v>1</v>
      </c>
    </row>
    <row r="29" spans="1:17">
      <c r="M29" s="21" t="s">
        <v>1965</v>
      </c>
      <c r="N29" s="21" t="s">
        <v>1714</v>
      </c>
      <c r="O29" s="21">
        <f>COUNTIF(COUNTRIES[COUNTRY_LABEL],COUNTRIES[[#This Row],[COUNTRY_LABEL]])</f>
        <v>1</v>
      </c>
    </row>
    <row r="30" spans="1:17">
      <c r="M30" s="21" t="s">
        <v>1983</v>
      </c>
      <c r="N30" s="21" t="s">
        <v>1732</v>
      </c>
      <c r="O30" s="21">
        <f>COUNTIF(COUNTRIES[COUNTRY_LABEL],COUNTRIES[[#This Row],[COUNTRY_LABEL]])</f>
        <v>1</v>
      </c>
    </row>
    <row r="31" spans="1:17">
      <c r="M31" s="21" t="s">
        <v>1982</v>
      </c>
      <c r="N31" s="21" t="s">
        <v>1731</v>
      </c>
      <c r="O31" s="21">
        <f>COUNTIF(COUNTRIES[COUNTRY_LABEL],COUNTRIES[[#This Row],[COUNTRY_LABEL]])</f>
        <v>1</v>
      </c>
    </row>
    <row r="32" spans="1:17">
      <c r="M32" s="21" t="s">
        <v>1979</v>
      </c>
      <c r="N32" s="21" t="s">
        <v>1728</v>
      </c>
      <c r="O32" s="21">
        <f>COUNTIF(COUNTRIES[COUNTRY_LABEL],COUNTRIES[[#This Row],[COUNTRY_LABEL]])</f>
        <v>1</v>
      </c>
    </row>
    <row r="33" spans="13:15">
      <c r="M33" s="21" t="s">
        <v>2054</v>
      </c>
      <c r="N33" s="21" t="s">
        <v>1802</v>
      </c>
      <c r="O33" s="21">
        <f>COUNTIF(COUNTRIES[COUNTRY_LABEL],COUNTRIES[[#This Row],[COUNTRY_LABEL]])</f>
        <v>1</v>
      </c>
    </row>
    <row r="34" spans="13:15">
      <c r="M34" s="21" t="s">
        <v>1976</v>
      </c>
      <c r="N34" s="21" t="s">
        <v>1725</v>
      </c>
      <c r="O34" s="21">
        <f>COUNTIF(COUNTRIES[COUNTRY_LABEL],COUNTRIES[[#This Row],[COUNTRY_LABEL]])</f>
        <v>1</v>
      </c>
    </row>
    <row r="35" spans="13:15">
      <c r="M35" s="21" t="s">
        <v>1970</v>
      </c>
      <c r="N35" s="21" t="s">
        <v>1719</v>
      </c>
      <c r="O35" s="21">
        <f>COUNTIF(COUNTRIES[COUNTRY_LABEL],COUNTRIES[[#This Row],[COUNTRY_LABEL]])</f>
        <v>1</v>
      </c>
    </row>
    <row r="36" spans="13:15">
      <c r="M36" s="21" t="s">
        <v>1969</v>
      </c>
      <c r="N36" s="21" t="s">
        <v>1718</v>
      </c>
      <c r="O36" s="21">
        <f>COUNTIF(COUNTRIES[COUNTRY_LABEL],COUNTRIES[[#This Row],[COUNTRY_LABEL]])</f>
        <v>1</v>
      </c>
    </row>
    <row r="37" spans="13:15">
      <c r="M37" s="21" t="s">
        <v>1972</v>
      </c>
      <c r="N37" s="21" t="s">
        <v>1721</v>
      </c>
      <c r="O37" s="21">
        <f>COUNTIF(COUNTRIES[COUNTRY_LABEL],COUNTRIES[[#This Row],[COUNTRY_LABEL]])</f>
        <v>1</v>
      </c>
    </row>
    <row r="38" spans="13:15">
      <c r="M38" s="21" t="s">
        <v>2065</v>
      </c>
      <c r="N38" s="21" t="s">
        <v>1813</v>
      </c>
      <c r="O38" s="21">
        <f>COUNTIF(COUNTRIES[COUNTRY_LABEL],COUNTRIES[[#This Row],[COUNTRY_LABEL]])</f>
        <v>1</v>
      </c>
    </row>
    <row r="39" spans="13:15">
      <c r="M39" s="21" t="s">
        <v>1995</v>
      </c>
      <c r="N39" s="21" t="s">
        <v>1744</v>
      </c>
      <c r="O39" s="21">
        <f>COUNTIF(COUNTRIES[COUNTRY_LABEL],COUNTRIES[[#This Row],[COUNTRY_LABEL]])</f>
        <v>1</v>
      </c>
    </row>
    <row r="40" spans="13:15">
      <c r="M40" s="21" t="s">
        <v>1986</v>
      </c>
      <c r="N40" s="21" t="s">
        <v>1735</v>
      </c>
      <c r="O40" s="21">
        <f>COUNTIF(COUNTRIES[COUNTRY_LABEL],COUNTRIES[[#This Row],[COUNTRY_LABEL]])</f>
        <v>1</v>
      </c>
    </row>
    <row r="41" spans="13:15">
      <c r="M41" s="21" t="s">
        <v>2000</v>
      </c>
      <c r="N41" s="21" t="s">
        <v>1749</v>
      </c>
      <c r="O41" s="21">
        <f>COUNTIF(COUNTRIES[COUNTRY_LABEL],COUNTRIES[[#This Row],[COUNTRY_LABEL]])</f>
        <v>1</v>
      </c>
    </row>
    <row r="42" spans="13:15">
      <c r="M42" s="21" t="s">
        <v>1978</v>
      </c>
      <c r="N42" s="21" t="s">
        <v>1727</v>
      </c>
      <c r="O42" s="21">
        <f>COUNTIF(COUNTRIES[COUNTRY_LABEL],COUNTRIES[[#This Row],[COUNTRY_LABEL]])</f>
        <v>1</v>
      </c>
    </row>
    <row r="43" spans="13:15">
      <c r="M43" s="21" t="s">
        <v>2072</v>
      </c>
      <c r="N43" s="21" t="s">
        <v>1820</v>
      </c>
      <c r="O43" s="21">
        <f>COUNTIF(COUNTRIES[COUNTRY_LABEL],COUNTRIES[[#This Row],[COUNTRY_LABEL]])</f>
        <v>1</v>
      </c>
    </row>
    <row r="44" spans="13:15">
      <c r="M44" s="21" t="s">
        <v>1989</v>
      </c>
      <c r="N44" s="21" t="s">
        <v>1738</v>
      </c>
      <c r="O44" s="21">
        <f>COUNTIF(COUNTRIES[COUNTRY_LABEL],COUNTRIES[[#This Row],[COUNTRY_LABEL]])</f>
        <v>1</v>
      </c>
    </row>
    <row r="45" spans="13:15">
      <c r="M45" s="21" t="s">
        <v>2162</v>
      </c>
      <c r="N45" s="21" t="s">
        <v>1911</v>
      </c>
      <c r="O45" s="21">
        <f>COUNTIF(COUNTRIES[COUNTRY_LABEL],COUNTRIES[[#This Row],[COUNTRY_LABEL]])</f>
        <v>1</v>
      </c>
    </row>
    <row r="46" spans="13:15">
      <c r="M46" s="21" t="s">
        <v>1994</v>
      </c>
      <c r="N46" s="21" t="s">
        <v>1743</v>
      </c>
      <c r="O46" s="21">
        <f>COUNTIF(COUNTRIES[COUNTRY_LABEL],COUNTRIES[[#This Row],[COUNTRY_LABEL]])</f>
        <v>1</v>
      </c>
    </row>
    <row r="47" spans="13:15">
      <c r="M47" s="21" t="s">
        <v>1996</v>
      </c>
      <c r="N47" s="21" t="s">
        <v>1745</v>
      </c>
      <c r="O47" s="21">
        <f>COUNTIF(COUNTRIES[COUNTRY_LABEL],COUNTRIES[[#This Row],[COUNTRY_LABEL]])</f>
        <v>1</v>
      </c>
    </row>
    <row r="48" spans="13:15">
      <c r="M48" s="21" t="s">
        <v>2002</v>
      </c>
      <c r="N48" s="21" t="s">
        <v>1751</v>
      </c>
      <c r="O48" s="21">
        <f>COUNTIF(COUNTRIES[COUNTRY_LABEL],COUNTRIES[[#This Row],[COUNTRY_LABEL]])</f>
        <v>1</v>
      </c>
    </row>
    <row r="49" spans="13:15">
      <c r="M49" s="21" t="s">
        <v>1987</v>
      </c>
      <c r="N49" s="21" t="s">
        <v>1736</v>
      </c>
      <c r="O49" s="21">
        <f>COUNTIF(COUNTRIES[COUNTRY_LABEL],COUNTRIES[[#This Row],[COUNTRY_LABEL]])</f>
        <v>1</v>
      </c>
    </row>
    <row r="50" spans="13:15">
      <c r="M50" s="21" t="s">
        <v>1997</v>
      </c>
      <c r="N50" s="21" t="s">
        <v>1746</v>
      </c>
      <c r="O50" s="21">
        <f>COUNTIF(COUNTRIES[COUNTRY_LABEL],COUNTRIES[[#This Row],[COUNTRY_LABEL]])</f>
        <v>1</v>
      </c>
    </row>
    <row r="51" spans="13:15">
      <c r="M51" s="21" t="s">
        <v>2067</v>
      </c>
      <c r="N51" s="21" t="s">
        <v>1815</v>
      </c>
      <c r="O51" s="21">
        <f>COUNTIF(COUNTRIES[COUNTRY_LABEL],COUNTRIES[[#This Row],[COUNTRY_LABEL]])</f>
        <v>1</v>
      </c>
    </row>
    <row r="52" spans="13:15">
      <c r="M52" s="21" t="s">
        <v>1993</v>
      </c>
      <c r="N52" s="21" t="s">
        <v>1742</v>
      </c>
      <c r="O52" s="21">
        <f>COUNTIF(COUNTRIES[COUNTRY_LABEL],COUNTRIES[[#This Row],[COUNTRY_LABEL]])</f>
        <v>1</v>
      </c>
    </row>
    <row r="53" spans="13:15">
      <c r="M53" s="21" t="s">
        <v>1998</v>
      </c>
      <c r="N53" s="21" t="s">
        <v>1747</v>
      </c>
      <c r="O53" s="21">
        <f>COUNTIF(COUNTRIES[COUNTRY_LABEL],COUNTRIES[[#This Row],[COUNTRY_LABEL]])</f>
        <v>1</v>
      </c>
    </row>
    <row r="54" spans="13:15">
      <c r="M54" s="21" t="s">
        <v>2046</v>
      </c>
      <c r="N54" s="21" t="s">
        <v>1794</v>
      </c>
      <c r="O54" s="21">
        <f>COUNTIF(COUNTRIES[COUNTRY_LABEL],COUNTRIES[[#This Row],[COUNTRY_LABEL]])</f>
        <v>1</v>
      </c>
    </row>
    <row r="55" spans="13:15">
      <c r="M55" s="21" t="s">
        <v>1999</v>
      </c>
      <c r="N55" s="21" t="s">
        <v>1748</v>
      </c>
      <c r="O55" s="21">
        <f>COUNTIF(COUNTRIES[COUNTRY_LABEL],COUNTRIES[[#This Row],[COUNTRY_LABEL]])</f>
        <v>1</v>
      </c>
    </row>
    <row r="56" spans="13:15">
      <c r="M56" s="21" t="s">
        <v>2001</v>
      </c>
      <c r="N56" s="21" t="s">
        <v>1750</v>
      </c>
      <c r="O56" s="21">
        <f>COUNTIF(COUNTRIES[COUNTRY_LABEL],COUNTRIES[[#This Row],[COUNTRY_LABEL]])</f>
        <v>1</v>
      </c>
    </row>
    <row r="57" spans="13:15">
      <c r="M57" s="21" t="s">
        <v>2003</v>
      </c>
      <c r="N57" s="21" t="s">
        <v>1752</v>
      </c>
      <c r="O57" s="21">
        <f>COUNTIF(COUNTRIES[COUNTRY_LABEL],COUNTRIES[[#This Row],[COUNTRY_LABEL]])</f>
        <v>1</v>
      </c>
    </row>
    <row r="58" spans="13:15">
      <c r="M58" s="21" t="s">
        <v>2004</v>
      </c>
      <c r="N58" s="21" t="s">
        <v>1753</v>
      </c>
      <c r="O58" s="21">
        <f>COUNTIF(COUNTRIES[COUNTRY_LABEL],COUNTRIES[[#This Row],[COUNTRY_LABEL]])</f>
        <v>1</v>
      </c>
    </row>
    <row r="59" spans="13:15">
      <c r="M59" s="21" t="s">
        <v>1988</v>
      </c>
      <c r="N59" s="21" t="s">
        <v>1737</v>
      </c>
      <c r="O59" s="21">
        <f>COUNTIF(COUNTRIES[COUNTRY_LABEL],COUNTRIES[[#This Row],[COUNTRY_LABEL]])</f>
        <v>1</v>
      </c>
    </row>
    <row r="60" spans="13:15">
      <c r="M60" s="21" t="s">
        <v>2007</v>
      </c>
      <c r="N60" s="21" t="s">
        <v>1756</v>
      </c>
      <c r="O60" s="21">
        <f>COUNTIF(COUNTRIES[COUNTRY_LABEL],COUNTRIES[[#This Row],[COUNTRY_LABEL]])</f>
        <v>1</v>
      </c>
    </row>
    <row r="61" spans="13:15">
      <c r="M61" s="21" t="s">
        <v>2006</v>
      </c>
      <c r="N61" s="21" t="s">
        <v>1755</v>
      </c>
      <c r="O61" s="21">
        <f>COUNTIF(COUNTRIES[COUNTRY_LABEL],COUNTRIES[[#This Row],[COUNTRY_LABEL]])</f>
        <v>1</v>
      </c>
    </row>
    <row r="62" spans="13:15">
      <c r="M62" s="21" t="s">
        <v>2008</v>
      </c>
      <c r="N62" s="21" t="s">
        <v>1757</v>
      </c>
      <c r="O62" s="21">
        <f>COUNTIF(COUNTRIES[COUNTRY_LABEL],COUNTRIES[[#This Row],[COUNTRY_LABEL]])</f>
        <v>1</v>
      </c>
    </row>
    <row r="63" spans="13:15">
      <c r="M63" s="21" t="s">
        <v>2009</v>
      </c>
      <c r="N63" s="21" t="s">
        <v>1758</v>
      </c>
      <c r="O63" s="21">
        <f>COUNTIF(COUNTRIES[COUNTRY_LABEL],COUNTRIES[[#This Row],[COUNTRY_LABEL]])</f>
        <v>1</v>
      </c>
    </row>
    <row r="64" spans="13:15">
      <c r="M64" s="21" t="s">
        <v>2213</v>
      </c>
      <c r="N64" s="21" t="s">
        <v>1945</v>
      </c>
      <c r="O64" s="21">
        <f>COUNTIF(COUNTRIES[COUNTRY_LABEL],COUNTRIES[[#This Row],[COUNTRY_LABEL]])</f>
        <v>1</v>
      </c>
    </row>
    <row r="65" spans="13:15">
      <c r="M65" s="21" t="s">
        <v>2011</v>
      </c>
      <c r="N65" s="21" t="s">
        <v>1760</v>
      </c>
      <c r="O65" s="21">
        <f>COUNTIF(COUNTRIES[COUNTRY_LABEL],COUNTRIES[[#This Row],[COUNTRY_LABEL]])</f>
        <v>1</v>
      </c>
    </row>
    <row r="66" spans="13:15">
      <c r="M66" s="21" t="s">
        <v>2013</v>
      </c>
      <c r="N66" s="21" t="s">
        <v>1762</v>
      </c>
      <c r="O66" s="21">
        <f>COUNTIF(COUNTRIES[COUNTRY_LABEL],COUNTRIES[[#This Row],[COUNTRY_LABEL]])</f>
        <v>1</v>
      </c>
    </row>
    <row r="67" spans="13:15">
      <c r="M67" s="21" t="s">
        <v>2157</v>
      </c>
      <c r="N67" s="21" t="s">
        <v>1906</v>
      </c>
      <c r="O67" s="21">
        <f>COUNTIF(COUNTRIES[COUNTRY_LABEL],COUNTRIES[[#This Row],[COUNTRY_LABEL]])</f>
        <v>1</v>
      </c>
    </row>
    <row r="68" spans="13:15">
      <c r="M68" s="21" t="s">
        <v>2036</v>
      </c>
      <c r="N68" s="21" t="s">
        <v>1784</v>
      </c>
      <c r="O68" s="21">
        <f>COUNTIF(COUNTRIES[COUNTRY_LABEL],COUNTRIES[[#This Row],[COUNTRY_LABEL]])</f>
        <v>1</v>
      </c>
    </row>
    <row r="69" spans="13:15">
      <c r="M69" s="21" t="s">
        <v>2015</v>
      </c>
      <c r="N69" s="21" t="s">
        <v>1764</v>
      </c>
      <c r="O69" s="21">
        <f>COUNTIF(COUNTRIES[COUNTRY_LABEL],COUNTRIES[[#This Row],[COUNTRY_LABEL]])</f>
        <v>1</v>
      </c>
    </row>
    <row r="70" spans="13:15">
      <c r="M70" s="21" t="s">
        <v>2012</v>
      </c>
      <c r="N70" s="21" t="s">
        <v>1761</v>
      </c>
      <c r="O70" s="21">
        <f>COUNTIF(COUNTRIES[COUNTRY_LABEL],COUNTRIES[[#This Row],[COUNTRY_LABEL]])</f>
        <v>1</v>
      </c>
    </row>
    <row r="71" spans="13:15">
      <c r="M71" s="21" t="s">
        <v>2160</v>
      </c>
      <c r="N71" s="21" t="s">
        <v>1909</v>
      </c>
      <c r="O71" s="21">
        <f>COUNTIF(COUNTRIES[COUNTRY_LABEL],COUNTRIES[[#This Row],[COUNTRY_LABEL]])</f>
        <v>1</v>
      </c>
    </row>
    <row r="72" spans="13:15">
      <c r="M72" s="21" t="s">
        <v>2017</v>
      </c>
      <c r="N72" s="21" t="s">
        <v>1766</v>
      </c>
      <c r="O72" s="21">
        <f>COUNTIF(COUNTRIES[COUNTRY_LABEL],COUNTRIES[[#This Row],[COUNTRY_LABEL]])</f>
        <v>1</v>
      </c>
    </row>
    <row r="73" spans="13:15">
      <c r="M73" s="21" t="s">
        <v>2212</v>
      </c>
      <c r="N73" s="21" t="s">
        <v>1946</v>
      </c>
      <c r="O73" s="21">
        <f>COUNTIF(COUNTRIES[COUNTRY_LABEL],COUNTRIES[[#This Row],[COUNTRY_LABEL]])</f>
        <v>1</v>
      </c>
    </row>
    <row r="74" spans="13:15">
      <c r="M74" s="21" t="s">
        <v>2020</v>
      </c>
      <c r="N74" s="21" t="s">
        <v>1769</v>
      </c>
      <c r="O74" s="21">
        <f>COUNTIF(COUNTRIES[COUNTRY_LABEL],COUNTRIES[[#This Row],[COUNTRY_LABEL]])</f>
        <v>1</v>
      </c>
    </row>
    <row r="75" spans="13:15">
      <c r="M75" s="21" t="s">
        <v>2022</v>
      </c>
      <c r="N75" s="21" t="s">
        <v>1771</v>
      </c>
      <c r="O75" s="21">
        <f>COUNTIF(COUNTRIES[COUNTRY_LABEL],COUNTRIES[[#This Row],[COUNTRY_LABEL]])</f>
        <v>1</v>
      </c>
    </row>
    <row r="76" spans="13:15">
      <c r="M76" s="21" t="s">
        <v>2019</v>
      </c>
      <c r="N76" s="21" t="s">
        <v>1768</v>
      </c>
      <c r="O76" s="21">
        <f>COUNTIF(COUNTRIES[COUNTRY_LABEL],COUNTRIES[[#This Row],[COUNTRY_LABEL]])</f>
        <v>1</v>
      </c>
    </row>
    <row r="77" spans="13:15">
      <c r="M77" s="21" t="s">
        <v>2018</v>
      </c>
      <c r="N77" s="21" t="s">
        <v>1767</v>
      </c>
      <c r="O77" s="21">
        <f>COUNTIF(COUNTRIES[COUNTRY_LABEL],COUNTRIES[[#This Row],[COUNTRY_LABEL]])</f>
        <v>1</v>
      </c>
    </row>
    <row r="78" spans="13:15">
      <c r="M78" s="21" t="s">
        <v>2023</v>
      </c>
      <c r="N78" s="21" t="s">
        <v>1772</v>
      </c>
      <c r="O78" s="21">
        <f>COUNTIF(COUNTRIES[COUNTRY_LABEL],COUNTRIES[[#This Row],[COUNTRY_LABEL]])</f>
        <v>1</v>
      </c>
    </row>
    <row r="79" spans="13:15">
      <c r="M79" s="21" t="s">
        <v>2028</v>
      </c>
      <c r="N79" s="21" t="s">
        <v>1776</v>
      </c>
      <c r="O79" s="21">
        <f>COUNTIF(COUNTRIES[COUNTRY_LABEL],COUNTRIES[[#This Row],[COUNTRY_LABEL]])</f>
        <v>1</v>
      </c>
    </row>
    <row r="80" spans="13:15">
      <c r="M80" s="21" t="s">
        <v>2122</v>
      </c>
      <c r="N80" s="21" t="s">
        <v>1871</v>
      </c>
      <c r="O80" s="21">
        <f>COUNTIF(COUNTRIES[COUNTRY_LABEL],COUNTRIES[[#This Row],[COUNTRY_LABEL]])</f>
        <v>1</v>
      </c>
    </row>
    <row r="81" spans="13:15">
      <c r="M81" s="21" t="s">
        <v>2163</v>
      </c>
      <c r="N81" s="21" t="s">
        <v>1912</v>
      </c>
      <c r="O81" s="21">
        <f>COUNTIF(COUNTRIES[COUNTRY_LABEL],COUNTRIES[[#This Row],[COUNTRY_LABEL]])</f>
        <v>1</v>
      </c>
    </row>
    <row r="82" spans="13:15">
      <c r="M82" s="21" t="s">
        <v>2024</v>
      </c>
      <c r="N82" s="21" t="s">
        <v>2201</v>
      </c>
      <c r="O82" s="21">
        <f>COUNTIF(COUNTRIES[COUNTRY_LABEL],COUNTRIES[[#This Row],[COUNTRY_LABEL]])</f>
        <v>1</v>
      </c>
    </row>
    <row r="83" spans="13:15">
      <c r="M83" s="21" t="s">
        <v>2033</v>
      </c>
      <c r="N83" s="21" t="s">
        <v>1781</v>
      </c>
      <c r="O83" s="21">
        <f>COUNTIF(COUNTRIES[COUNTRY_LABEL],COUNTRIES[[#This Row],[COUNTRY_LABEL]])</f>
        <v>1</v>
      </c>
    </row>
    <row r="84" spans="13:15">
      <c r="M84" s="21" t="s">
        <v>2039</v>
      </c>
      <c r="N84" s="21" t="s">
        <v>1787</v>
      </c>
      <c r="O84" s="21">
        <f>COUNTIF(COUNTRIES[COUNTRY_LABEL],COUNTRIES[[#This Row],[COUNTRY_LABEL]])</f>
        <v>1</v>
      </c>
    </row>
    <row r="85" spans="13:15">
      <c r="M85" s="21" t="s">
        <v>2027</v>
      </c>
      <c r="N85" s="21" t="s">
        <v>1775</v>
      </c>
      <c r="O85" s="21">
        <f>COUNTIF(COUNTRIES[COUNTRY_LABEL],COUNTRIES[[#This Row],[COUNTRY_LABEL]])</f>
        <v>1</v>
      </c>
    </row>
    <row r="86" spans="13:15">
      <c r="M86" s="21" t="s">
        <v>2005</v>
      </c>
      <c r="N86" s="21" t="s">
        <v>1754</v>
      </c>
      <c r="O86" s="21">
        <f>COUNTIF(COUNTRIES[COUNTRY_LABEL],COUNTRIES[[#This Row],[COUNTRY_LABEL]])</f>
        <v>1</v>
      </c>
    </row>
    <row r="87" spans="13:15">
      <c r="M87" s="21" t="s">
        <v>2030</v>
      </c>
      <c r="N87" s="21" t="s">
        <v>1778</v>
      </c>
      <c r="O87" s="21">
        <f>COUNTIF(COUNTRIES[COUNTRY_LABEL],COUNTRIES[[#This Row],[COUNTRY_LABEL]])</f>
        <v>1</v>
      </c>
    </row>
    <row r="88" spans="13:15">
      <c r="M88" s="21" t="s">
        <v>2031</v>
      </c>
      <c r="N88" s="21" t="s">
        <v>1779</v>
      </c>
      <c r="O88" s="21">
        <f>COUNTIF(COUNTRIES[COUNTRY_LABEL],COUNTRIES[[#This Row],[COUNTRY_LABEL]])</f>
        <v>1</v>
      </c>
    </row>
    <row r="89" spans="13:15">
      <c r="M89" s="21" t="s">
        <v>2037</v>
      </c>
      <c r="N89" s="21" t="s">
        <v>1785</v>
      </c>
      <c r="O89" s="21">
        <f>COUNTIF(COUNTRIES[COUNTRY_LABEL],COUNTRIES[[#This Row],[COUNTRY_LABEL]])</f>
        <v>1</v>
      </c>
    </row>
    <row r="90" spans="13:15">
      <c r="M90" s="21" t="s">
        <v>2032</v>
      </c>
      <c r="N90" s="21" t="s">
        <v>1780</v>
      </c>
      <c r="O90" s="21">
        <f>COUNTIF(COUNTRIES[COUNTRY_LABEL],COUNTRIES[[#This Row],[COUNTRY_LABEL]])</f>
        <v>1</v>
      </c>
    </row>
    <row r="91" spans="13:15">
      <c r="M91" s="21" t="s">
        <v>2026</v>
      </c>
      <c r="N91" s="21" t="s">
        <v>1774</v>
      </c>
      <c r="O91" s="21">
        <f>COUNTIF(COUNTRIES[COUNTRY_LABEL],COUNTRIES[[#This Row],[COUNTRY_LABEL]])</f>
        <v>1</v>
      </c>
    </row>
    <row r="92" spans="13:15">
      <c r="M92" s="21" t="s">
        <v>2035</v>
      </c>
      <c r="N92" s="21" t="s">
        <v>1783</v>
      </c>
      <c r="O92" s="21">
        <f>COUNTIF(COUNTRIES[COUNTRY_LABEL],COUNTRIES[[#This Row],[COUNTRY_LABEL]])</f>
        <v>1</v>
      </c>
    </row>
    <row r="93" spans="13:15">
      <c r="M93" s="21" t="s">
        <v>2040</v>
      </c>
      <c r="N93" s="21" t="s">
        <v>1788</v>
      </c>
      <c r="O93" s="21">
        <f>COUNTIF(COUNTRIES[COUNTRY_LABEL],COUNTRIES[[#This Row],[COUNTRY_LABEL]])</f>
        <v>1</v>
      </c>
    </row>
    <row r="94" spans="13:15">
      <c r="M94" s="21" t="s">
        <v>2029</v>
      </c>
      <c r="N94" s="21" t="s">
        <v>1777</v>
      </c>
      <c r="O94" s="21">
        <f>COUNTIF(COUNTRIES[COUNTRY_LABEL],COUNTRIES[[#This Row],[COUNTRY_LABEL]])</f>
        <v>1</v>
      </c>
    </row>
    <row r="95" spans="13:15">
      <c r="M95" s="21" t="s">
        <v>2034</v>
      </c>
      <c r="N95" s="21" t="s">
        <v>1782</v>
      </c>
      <c r="O95" s="21">
        <f>COUNTIF(COUNTRIES[COUNTRY_LABEL],COUNTRIES[[#This Row],[COUNTRY_LABEL]])</f>
        <v>1</v>
      </c>
    </row>
    <row r="96" spans="13:15">
      <c r="M96" s="21" t="s">
        <v>2041</v>
      </c>
      <c r="N96" s="21" t="s">
        <v>1789</v>
      </c>
      <c r="O96" s="21">
        <f>COUNTIF(COUNTRIES[COUNTRY_LABEL],COUNTRIES[[#This Row],[COUNTRY_LABEL]])</f>
        <v>1</v>
      </c>
    </row>
    <row r="97" spans="13:15">
      <c r="M97" s="21" t="s">
        <v>2042</v>
      </c>
      <c r="N97" s="21" t="s">
        <v>1790</v>
      </c>
      <c r="O97" s="21">
        <f>COUNTIF(COUNTRIES[COUNTRY_LABEL],COUNTRIES[[#This Row],[COUNTRY_LABEL]])</f>
        <v>1</v>
      </c>
    </row>
    <row r="98" spans="13:15">
      <c r="M98" s="21" t="s">
        <v>2047</v>
      </c>
      <c r="N98" s="21" t="s">
        <v>1795</v>
      </c>
      <c r="O98" s="21">
        <f>COUNTIF(COUNTRIES[COUNTRY_LABEL],COUNTRIES[[#This Row],[COUNTRY_LABEL]])</f>
        <v>1</v>
      </c>
    </row>
    <row r="99" spans="13:15">
      <c r="M99" s="21" t="s">
        <v>2044</v>
      </c>
      <c r="N99" s="21" t="s">
        <v>1792</v>
      </c>
      <c r="O99" s="21">
        <f>COUNTIF(COUNTRIES[COUNTRY_LABEL],COUNTRIES[[#This Row],[COUNTRY_LABEL]])</f>
        <v>1</v>
      </c>
    </row>
    <row r="100" spans="13:15">
      <c r="M100" s="21" t="s">
        <v>2183</v>
      </c>
      <c r="N100" s="21" t="s">
        <v>1931</v>
      </c>
      <c r="O100" s="21">
        <f>COUNTIF(COUNTRIES[COUNTRY_LABEL],COUNTRIES[[#This Row],[COUNTRY_LABEL]])</f>
        <v>1</v>
      </c>
    </row>
    <row r="101" spans="13:15">
      <c r="M101" s="21" t="s">
        <v>2045</v>
      </c>
      <c r="N101" s="21" t="s">
        <v>1793</v>
      </c>
      <c r="O101" s="21">
        <f>COUNTIF(COUNTRIES[COUNTRY_LABEL],COUNTRIES[[#This Row],[COUNTRY_LABEL]])</f>
        <v>1</v>
      </c>
    </row>
    <row r="102" spans="13:15">
      <c r="M102" s="21" t="s">
        <v>2043</v>
      </c>
      <c r="N102" s="21" t="s">
        <v>1791</v>
      </c>
      <c r="O102" s="21">
        <f>COUNTIF(COUNTRIES[COUNTRY_LABEL],COUNTRIES[[#This Row],[COUNTRY_LABEL]])</f>
        <v>1</v>
      </c>
    </row>
    <row r="103" spans="13:15">
      <c r="M103" s="21" t="s">
        <v>2048</v>
      </c>
      <c r="N103" s="21" t="s">
        <v>1796</v>
      </c>
      <c r="O103" s="21">
        <f>COUNTIF(COUNTRIES[COUNTRY_LABEL],COUNTRIES[[#This Row],[COUNTRY_LABEL]])</f>
        <v>1</v>
      </c>
    </row>
    <row r="104" spans="13:15">
      <c r="M104" s="21" t="s">
        <v>2057</v>
      </c>
      <c r="N104" s="21" t="s">
        <v>1805</v>
      </c>
      <c r="O104" s="21">
        <f>COUNTIF(COUNTRIES[COUNTRY_LABEL],COUNTRIES[[#This Row],[COUNTRY_LABEL]])</f>
        <v>1</v>
      </c>
    </row>
    <row r="105" spans="13:15">
      <c r="M105" s="21" t="s">
        <v>2053</v>
      </c>
      <c r="N105" s="21" t="s">
        <v>1801</v>
      </c>
      <c r="O105" s="21">
        <f>COUNTIF(COUNTRIES[COUNTRY_LABEL],COUNTRIES[[#This Row],[COUNTRY_LABEL]])</f>
        <v>1</v>
      </c>
    </row>
    <row r="106" spans="13:15">
      <c r="M106" s="21" t="s">
        <v>2049</v>
      </c>
      <c r="N106" s="21" t="s">
        <v>1797</v>
      </c>
      <c r="O106" s="21">
        <f>COUNTIF(COUNTRIES[COUNTRY_LABEL],COUNTRIES[[#This Row],[COUNTRY_LABEL]])</f>
        <v>1</v>
      </c>
    </row>
    <row r="107" spans="13:15">
      <c r="M107" s="21" t="s">
        <v>2056</v>
      </c>
      <c r="N107" s="21" t="s">
        <v>1804</v>
      </c>
      <c r="O107" s="21">
        <f>COUNTIF(COUNTRIES[COUNTRY_LABEL],COUNTRIES[[#This Row],[COUNTRY_LABEL]])</f>
        <v>1</v>
      </c>
    </row>
    <row r="108" spans="13:15">
      <c r="M108" s="21" t="s">
        <v>2055</v>
      </c>
      <c r="N108" s="21" t="s">
        <v>1803</v>
      </c>
      <c r="O108" s="21">
        <f>COUNTIF(COUNTRIES[COUNTRY_LABEL],COUNTRIES[[#This Row],[COUNTRY_LABEL]])</f>
        <v>1</v>
      </c>
    </row>
    <row r="109" spans="13:15">
      <c r="M109" s="21" t="s">
        <v>2050</v>
      </c>
      <c r="N109" s="21" t="s">
        <v>1798</v>
      </c>
      <c r="O109" s="21">
        <f>COUNTIF(COUNTRIES[COUNTRY_LABEL],COUNTRIES[[#This Row],[COUNTRY_LABEL]])</f>
        <v>1</v>
      </c>
    </row>
    <row r="110" spans="13:15">
      <c r="M110" s="21" t="s">
        <v>2052</v>
      </c>
      <c r="N110" s="21" t="s">
        <v>1800</v>
      </c>
      <c r="O110" s="21">
        <f>COUNTIF(COUNTRIES[COUNTRY_LABEL],COUNTRIES[[#This Row],[COUNTRY_LABEL]])</f>
        <v>1</v>
      </c>
    </row>
    <row r="111" spans="13:15">
      <c r="M111" s="21" t="s">
        <v>2051</v>
      </c>
      <c r="N111" s="21" t="s">
        <v>1799</v>
      </c>
      <c r="O111" s="21">
        <f>COUNTIF(COUNTRIES[COUNTRY_LABEL],COUNTRIES[[#This Row],[COUNTRY_LABEL]])</f>
        <v>1</v>
      </c>
    </row>
    <row r="112" spans="13:15">
      <c r="M112" s="21" t="s">
        <v>2058</v>
      </c>
      <c r="N112" s="21" t="s">
        <v>1806</v>
      </c>
      <c r="O112" s="21">
        <f>COUNTIF(COUNTRIES[COUNTRY_LABEL],COUNTRIES[[#This Row],[COUNTRY_LABEL]])</f>
        <v>1</v>
      </c>
    </row>
    <row r="113" spans="13:15">
      <c r="M113" s="21" t="s">
        <v>1992</v>
      </c>
      <c r="N113" s="21" t="s">
        <v>1741</v>
      </c>
      <c r="O113" s="21">
        <f>COUNTIF(COUNTRIES[COUNTRY_LABEL],COUNTRIES[[#This Row],[COUNTRY_LABEL]])</f>
        <v>1</v>
      </c>
    </row>
    <row r="114" spans="13:15">
      <c r="M114" s="21" t="s">
        <v>2060</v>
      </c>
      <c r="N114" s="21" t="s">
        <v>1808</v>
      </c>
      <c r="O114" s="21">
        <f>COUNTIF(COUNTRIES[COUNTRY_LABEL],COUNTRIES[[#This Row],[COUNTRY_LABEL]])</f>
        <v>1</v>
      </c>
    </row>
    <row r="115" spans="13:15">
      <c r="M115" s="21" t="s">
        <v>2062</v>
      </c>
      <c r="N115" s="21" t="s">
        <v>1810</v>
      </c>
      <c r="O115" s="21">
        <f>COUNTIF(COUNTRIES[COUNTRY_LABEL],COUNTRIES[[#This Row],[COUNTRY_LABEL]])</f>
        <v>1</v>
      </c>
    </row>
    <row r="116" spans="13:15">
      <c r="M116" s="21" t="s">
        <v>2059</v>
      </c>
      <c r="N116" s="21" t="s">
        <v>1807</v>
      </c>
      <c r="O116" s="21">
        <f>COUNTIF(COUNTRIES[COUNTRY_LABEL],COUNTRIES[[#This Row],[COUNTRY_LABEL]])</f>
        <v>1</v>
      </c>
    </row>
    <row r="117" spans="13:15">
      <c r="M117" s="21" t="s">
        <v>2061</v>
      </c>
      <c r="N117" s="21" t="s">
        <v>1809</v>
      </c>
      <c r="O117" s="21">
        <f>COUNTIF(COUNTRIES[COUNTRY_LABEL],COUNTRIES[[#This Row],[COUNTRY_LABEL]])</f>
        <v>1</v>
      </c>
    </row>
    <row r="118" spans="13:15">
      <c r="M118" s="21" t="s">
        <v>2073</v>
      </c>
      <c r="N118" s="21" t="s">
        <v>1821</v>
      </c>
      <c r="O118" s="21">
        <f>COUNTIF(COUNTRIES[COUNTRY_LABEL],COUNTRIES[[#This Row],[COUNTRY_LABEL]])</f>
        <v>1</v>
      </c>
    </row>
    <row r="119" spans="13:15">
      <c r="M119" s="21" t="s">
        <v>2063</v>
      </c>
      <c r="N119" s="21" t="s">
        <v>1811</v>
      </c>
      <c r="O119" s="21">
        <f>COUNTIF(COUNTRIES[COUNTRY_LABEL],COUNTRIES[[#This Row],[COUNTRY_LABEL]])</f>
        <v>1</v>
      </c>
    </row>
    <row r="120" spans="13:15">
      <c r="M120" s="21" t="s">
        <v>2066</v>
      </c>
      <c r="N120" s="21" t="s">
        <v>1814</v>
      </c>
      <c r="O120" s="21">
        <f>COUNTIF(COUNTRIES[COUNTRY_LABEL],COUNTRIES[[#This Row],[COUNTRY_LABEL]])</f>
        <v>1</v>
      </c>
    </row>
    <row r="121" spans="13:15">
      <c r="M121" s="21" t="s">
        <v>2071</v>
      </c>
      <c r="N121" s="21" t="s">
        <v>1819</v>
      </c>
      <c r="O121" s="21">
        <f>COUNTIF(COUNTRIES[COUNTRY_LABEL],COUNTRIES[[#This Row],[COUNTRY_LABEL]])</f>
        <v>1</v>
      </c>
    </row>
    <row r="122" spans="13:15">
      <c r="M122" s="21" t="s">
        <v>2064</v>
      </c>
      <c r="N122" s="21" t="s">
        <v>1812</v>
      </c>
      <c r="O122" s="21">
        <f>COUNTIF(COUNTRIES[COUNTRY_LABEL],COUNTRIES[[#This Row],[COUNTRY_LABEL]])</f>
        <v>1</v>
      </c>
    </row>
    <row r="123" spans="13:15">
      <c r="M123" s="21" t="s">
        <v>2074</v>
      </c>
      <c r="N123" s="21" t="s">
        <v>1822</v>
      </c>
      <c r="O123" s="21">
        <f>COUNTIF(COUNTRIES[COUNTRY_LABEL],COUNTRIES[[#This Row],[COUNTRY_LABEL]])</f>
        <v>1</v>
      </c>
    </row>
    <row r="124" spans="13:15">
      <c r="M124" s="21" t="s">
        <v>2083</v>
      </c>
      <c r="N124" s="21" t="s">
        <v>1831</v>
      </c>
      <c r="O124" s="21">
        <f>COUNTIF(COUNTRIES[COUNTRY_LABEL],COUNTRIES[[#This Row],[COUNTRY_LABEL]])</f>
        <v>1</v>
      </c>
    </row>
    <row r="125" spans="13:15">
      <c r="M125" s="21" t="s">
        <v>2075</v>
      </c>
      <c r="N125" s="21" t="s">
        <v>1823</v>
      </c>
      <c r="O125" s="21">
        <f>COUNTIF(COUNTRIES[COUNTRY_LABEL],COUNTRIES[[#This Row],[COUNTRY_LABEL]])</f>
        <v>1</v>
      </c>
    </row>
    <row r="126" spans="13:15">
      <c r="M126" s="21" t="s">
        <v>2080</v>
      </c>
      <c r="N126" s="21" t="s">
        <v>1828</v>
      </c>
      <c r="O126" s="21">
        <f>COUNTIF(COUNTRIES[COUNTRY_LABEL],COUNTRIES[[#This Row],[COUNTRY_LABEL]])</f>
        <v>1</v>
      </c>
    </row>
    <row r="127" spans="13:15">
      <c r="M127" s="21" t="s">
        <v>2079</v>
      </c>
      <c r="N127" s="21" t="s">
        <v>1827</v>
      </c>
      <c r="O127" s="21">
        <f>COUNTIF(COUNTRIES[COUNTRY_LABEL],COUNTRIES[[#This Row],[COUNTRY_LABEL]])</f>
        <v>1</v>
      </c>
    </row>
    <row r="128" spans="13:15">
      <c r="M128" s="21" t="s">
        <v>2084</v>
      </c>
      <c r="N128" s="21" t="s">
        <v>1832</v>
      </c>
      <c r="O128" s="21">
        <f>COUNTIF(COUNTRIES[COUNTRY_LABEL],COUNTRIES[[#This Row],[COUNTRY_LABEL]])</f>
        <v>1</v>
      </c>
    </row>
    <row r="129" spans="13:15">
      <c r="M129" s="21" t="s">
        <v>2077</v>
      </c>
      <c r="N129" s="21" t="s">
        <v>1825</v>
      </c>
      <c r="O129" s="21">
        <f>COUNTIF(COUNTRIES[COUNTRY_LABEL],COUNTRIES[[#This Row],[COUNTRY_LABEL]])</f>
        <v>1</v>
      </c>
    </row>
    <row r="130" spans="13:15">
      <c r="M130" s="21" t="s">
        <v>2081</v>
      </c>
      <c r="N130" s="21" t="s">
        <v>1829</v>
      </c>
      <c r="O130" s="21">
        <f>COUNTIF(COUNTRIES[COUNTRY_LABEL],COUNTRIES[[#This Row],[COUNTRY_LABEL]])</f>
        <v>1</v>
      </c>
    </row>
    <row r="131" spans="13:15">
      <c r="M131" s="21" t="s">
        <v>2082</v>
      </c>
      <c r="N131" s="21" t="s">
        <v>1830</v>
      </c>
      <c r="O131" s="21">
        <f>COUNTIF(COUNTRIES[COUNTRY_LABEL],COUNTRIES[[#This Row],[COUNTRY_LABEL]])</f>
        <v>1</v>
      </c>
    </row>
    <row r="132" spans="13:15">
      <c r="M132" s="21" t="s">
        <v>2096</v>
      </c>
      <c r="N132" s="21" t="s">
        <v>1844</v>
      </c>
      <c r="O132" s="21">
        <f>COUNTIF(COUNTRIES[COUNTRY_LABEL],COUNTRIES[[#This Row],[COUNTRY_LABEL]])</f>
        <v>1</v>
      </c>
    </row>
    <row r="133" spans="13:15">
      <c r="M133" s="21" t="s">
        <v>2090</v>
      </c>
      <c r="N133" s="21" t="s">
        <v>1838</v>
      </c>
      <c r="O133" s="21">
        <f>COUNTIF(COUNTRIES[COUNTRY_LABEL],COUNTRIES[[#This Row],[COUNTRY_LABEL]])</f>
        <v>1</v>
      </c>
    </row>
    <row r="134" spans="13:15">
      <c r="M134" s="21" t="s">
        <v>2104</v>
      </c>
      <c r="N134" s="21" t="s">
        <v>1852</v>
      </c>
      <c r="O134" s="21">
        <f>COUNTIF(COUNTRIES[COUNTRY_LABEL],COUNTRIES[[#This Row],[COUNTRY_LABEL]])</f>
        <v>1</v>
      </c>
    </row>
    <row r="135" spans="13:15">
      <c r="M135" s="21" t="s">
        <v>2106</v>
      </c>
      <c r="N135" s="21" t="s">
        <v>1854</v>
      </c>
      <c r="O135" s="21">
        <f>COUNTIF(COUNTRIES[COUNTRY_LABEL],COUNTRIES[[#This Row],[COUNTRY_LABEL]])</f>
        <v>1</v>
      </c>
    </row>
    <row r="136" spans="13:15">
      <c r="M136" s="21" t="s">
        <v>2103</v>
      </c>
      <c r="N136" s="21" t="s">
        <v>1851</v>
      </c>
      <c r="O136" s="21">
        <f>COUNTIF(COUNTRIES[COUNTRY_LABEL],COUNTRIES[[#This Row],[COUNTRY_LABEL]])</f>
        <v>1</v>
      </c>
    </row>
    <row r="137" spans="13:15">
      <c r="M137" s="21" t="s">
        <v>2093</v>
      </c>
      <c r="N137" s="21" t="s">
        <v>1841</v>
      </c>
      <c r="O137" s="21">
        <f>COUNTIF(COUNTRIES[COUNTRY_LABEL],COUNTRIES[[#This Row],[COUNTRY_LABEL]])</f>
        <v>1</v>
      </c>
    </row>
    <row r="138" spans="13:15">
      <c r="M138" s="21" t="s">
        <v>2101</v>
      </c>
      <c r="N138" s="21" t="s">
        <v>1849</v>
      </c>
      <c r="O138" s="21">
        <f>COUNTIF(COUNTRIES[COUNTRY_LABEL],COUNTRIES[[#This Row],[COUNTRY_LABEL]])</f>
        <v>1</v>
      </c>
    </row>
    <row r="139" spans="13:15">
      <c r="M139" s="21" t="s">
        <v>2091</v>
      </c>
      <c r="N139" s="21" t="s">
        <v>1839</v>
      </c>
      <c r="O139" s="21">
        <f>COUNTIF(COUNTRIES[COUNTRY_LABEL],COUNTRIES[[#This Row],[COUNTRY_LABEL]])</f>
        <v>1</v>
      </c>
    </row>
    <row r="140" spans="13:15">
      <c r="M140" s="21" t="s">
        <v>2098</v>
      </c>
      <c r="N140" s="21" t="s">
        <v>1846</v>
      </c>
      <c r="O140" s="21">
        <f>COUNTIF(COUNTRIES[COUNTRY_LABEL],COUNTRIES[[#This Row],[COUNTRY_LABEL]])</f>
        <v>1</v>
      </c>
    </row>
    <row r="141" spans="13:15">
      <c r="M141" s="21" t="s">
        <v>2099</v>
      </c>
      <c r="N141" s="21" t="s">
        <v>1847</v>
      </c>
      <c r="O141" s="21">
        <f>COUNTIF(COUNTRIES[COUNTRY_LABEL],COUNTRIES[[#This Row],[COUNTRY_LABEL]])</f>
        <v>1</v>
      </c>
    </row>
    <row r="142" spans="13:15">
      <c r="M142" s="21" t="s">
        <v>2102</v>
      </c>
      <c r="N142" s="21" t="s">
        <v>1850</v>
      </c>
      <c r="O142" s="21">
        <f>COUNTIF(COUNTRIES[COUNTRY_LABEL],COUNTRIES[[#This Row],[COUNTRY_LABEL]])</f>
        <v>1</v>
      </c>
    </row>
    <row r="143" spans="13:15">
      <c r="M143" s="21" t="s">
        <v>2193</v>
      </c>
      <c r="N143" s="21" t="s">
        <v>1941</v>
      </c>
      <c r="O143" s="21">
        <f>COUNTIF(COUNTRIES[COUNTRY_LABEL],COUNTRIES[[#This Row],[COUNTRY_LABEL]])</f>
        <v>1</v>
      </c>
    </row>
    <row r="144" spans="13:15">
      <c r="M144" s="21" t="s">
        <v>2105</v>
      </c>
      <c r="N144" s="21" t="s">
        <v>1853</v>
      </c>
      <c r="O144" s="21">
        <f>COUNTIF(COUNTRIES[COUNTRY_LABEL],COUNTRIES[[#This Row],[COUNTRY_LABEL]])</f>
        <v>1</v>
      </c>
    </row>
    <row r="145" spans="13:15">
      <c r="M145" s="21" t="s">
        <v>2021</v>
      </c>
      <c r="N145" s="21" t="s">
        <v>1770</v>
      </c>
      <c r="O145" s="21">
        <f>COUNTIF(COUNTRIES[COUNTRY_LABEL],COUNTRIES[[#This Row],[COUNTRY_LABEL]])</f>
        <v>1</v>
      </c>
    </row>
    <row r="146" spans="13:15">
      <c r="M146" s="21" t="s">
        <v>2087</v>
      </c>
      <c r="N146" s="21" t="s">
        <v>1835</v>
      </c>
      <c r="O146" s="21">
        <f>COUNTIF(COUNTRIES[COUNTRY_LABEL],COUNTRIES[[#This Row],[COUNTRY_LABEL]])</f>
        <v>1</v>
      </c>
    </row>
    <row r="147" spans="13:15">
      <c r="M147" s="21" t="s">
        <v>2086</v>
      </c>
      <c r="N147" s="21" t="s">
        <v>1834</v>
      </c>
      <c r="O147" s="21">
        <f>COUNTIF(COUNTRIES[COUNTRY_LABEL],COUNTRIES[[#This Row],[COUNTRY_LABEL]])</f>
        <v>1</v>
      </c>
    </row>
    <row r="148" spans="13:15">
      <c r="M148" s="21" t="s">
        <v>2095</v>
      </c>
      <c r="N148" s="21" t="s">
        <v>1843</v>
      </c>
      <c r="O148" s="21">
        <f>COUNTIF(COUNTRIES[COUNTRY_LABEL],COUNTRIES[[#This Row],[COUNTRY_LABEL]])</f>
        <v>1</v>
      </c>
    </row>
    <row r="149" spans="13:15">
      <c r="M149" s="21" t="s">
        <v>2088</v>
      </c>
      <c r="N149" s="21" t="s">
        <v>1836</v>
      </c>
      <c r="O149" s="21">
        <f>COUNTIF(COUNTRIES[COUNTRY_LABEL],COUNTRIES[[#This Row],[COUNTRY_LABEL]])</f>
        <v>1</v>
      </c>
    </row>
    <row r="150" spans="13:15">
      <c r="M150" s="21" t="s">
        <v>2100</v>
      </c>
      <c r="N150" s="21" t="s">
        <v>1848</v>
      </c>
      <c r="O150" s="21">
        <f>COUNTIF(COUNTRIES[COUNTRY_LABEL],COUNTRIES[[#This Row],[COUNTRY_LABEL]])</f>
        <v>1</v>
      </c>
    </row>
    <row r="151" spans="13:15">
      <c r="M151" s="21" t="s">
        <v>2085</v>
      </c>
      <c r="N151" s="21" t="s">
        <v>1833</v>
      </c>
      <c r="O151" s="21">
        <f>COUNTIF(COUNTRIES[COUNTRY_LABEL],COUNTRIES[[#This Row],[COUNTRY_LABEL]])</f>
        <v>1</v>
      </c>
    </row>
    <row r="152" spans="13:15">
      <c r="M152" s="21" t="s">
        <v>2107</v>
      </c>
      <c r="N152" s="21" t="s">
        <v>1855</v>
      </c>
      <c r="O152" s="21">
        <f>COUNTIF(COUNTRIES[COUNTRY_LABEL],COUNTRIES[[#This Row],[COUNTRY_LABEL]])</f>
        <v>1</v>
      </c>
    </row>
    <row r="153" spans="13:15">
      <c r="M153" s="21" t="s">
        <v>2094</v>
      </c>
      <c r="N153" s="21" t="s">
        <v>1842</v>
      </c>
      <c r="O153" s="21">
        <f>COUNTIF(COUNTRIES[COUNTRY_LABEL],COUNTRIES[[#This Row],[COUNTRY_LABEL]])</f>
        <v>1</v>
      </c>
    </row>
    <row r="154" spans="13:15">
      <c r="M154" s="21" t="s">
        <v>1688</v>
      </c>
      <c r="N154" s="21" t="s">
        <v>1856</v>
      </c>
      <c r="O154" s="21">
        <f>COUNTIF(COUNTRIES[COUNTRY_LABEL],COUNTRIES[[#This Row],[COUNTRY_LABEL]])</f>
        <v>1</v>
      </c>
    </row>
    <row r="155" spans="13:15">
      <c r="M155" s="21" t="s">
        <v>2116</v>
      </c>
      <c r="N155" s="21" t="s">
        <v>1865</v>
      </c>
      <c r="O155" s="21">
        <f>COUNTIF(COUNTRIES[COUNTRY_LABEL],COUNTRIES[[#This Row],[COUNTRY_LABEL]])</f>
        <v>1</v>
      </c>
    </row>
    <row r="156" spans="13:15">
      <c r="M156" s="21" t="s">
        <v>2115</v>
      </c>
      <c r="N156" s="21" t="s">
        <v>1864</v>
      </c>
      <c r="O156" s="21">
        <f>COUNTIF(COUNTRIES[COUNTRY_LABEL],COUNTRIES[[#This Row],[COUNTRY_LABEL]])</f>
        <v>1</v>
      </c>
    </row>
    <row r="157" spans="13:15">
      <c r="M157" s="21" t="s">
        <v>2113</v>
      </c>
      <c r="N157" s="21" t="s">
        <v>1862</v>
      </c>
      <c r="O157" s="21">
        <f>COUNTIF(COUNTRIES[COUNTRY_LABEL],COUNTRIES[[#This Row],[COUNTRY_LABEL]])</f>
        <v>1</v>
      </c>
    </row>
    <row r="158" spans="13:15">
      <c r="M158" s="21" t="s">
        <v>2108</v>
      </c>
      <c r="N158" s="21" t="s">
        <v>1857</v>
      </c>
      <c r="O158" s="21">
        <f>COUNTIF(COUNTRIES[COUNTRY_LABEL],COUNTRIES[[#This Row],[COUNTRY_LABEL]])</f>
        <v>1</v>
      </c>
    </row>
    <row r="159" spans="13:15">
      <c r="M159" s="21" t="s">
        <v>2118</v>
      </c>
      <c r="N159" s="21" t="s">
        <v>1867</v>
      </c>
      <c r="O159" s="21">
        <f>COUNTIF(COUNTRIES[COUNTRY_LABEL],COUNTRIES[[#This Row],[COUNTRY_LABEL]])</f>
        <v>1</v>
      </c>
    </row>
    <row r="160" spans="13:15">
      <c r="M160" s="21" t="s">
        <v>2112</v>
      </c>
      <c r="N160" s="21" t="s">
        <v>1861</v>
      </c>
      <c r="O160" s="21">
        <f>COUNTIF(COUNTRIES[COUNTRY_LABEL],COUNTRIES[[#This Row],[COUNTRY_LABEL]])</f>
        <v>1</v>
      </c>
    </row>
    <row r="161" spans="13:15">
      <c r="M161" s="21" t="s">
        <v>2109</v>
      </c>
      <c r="N161" s="21" t="s">
        <v>1858</v>
      </c>
      <c r="O161" s="21">
        <f>COUNTIF(COUNTRIES[COUNTRY_LABEL],COUNTRIES[[#This Row],[COUNTRY_LABEL]])</f>
        <v>1</v>
      </c>
    </row>
    <row r="162" spans="13:15">
      <c r="M162" s="21" t="s">
        <v>2111</v>
      </c>
      <c r="N162" s="21" t="s">
        <v>1860</v>
      </c>
      <c r="O162" s="21">
        <f>COUNTIF(COUNTRIES[COUNTRY_LABEL],COUNTRIES[[#This Row],[COUNTRY_LABEL]])</f>
        <v>1</v>
      </c>
    </row>
    <row r="163" spans="13:15">
      <c r="M163" s="21" t="s">
        <v>2117</v>
      </c>
      <c r="N163" s="21" t="s">
        <v>1866</v>
      </c>
      <c r="O163" s="21">
        <f>COUNTIF(COUNTRIES[COUNTRY_LABEL],COUNTRIES[[#This Row],[COUNTRY_LABEL]])</f>
        <v>1</v>
      </c>
    </row>
    <row r="164" spans="13:15">
      <c r="M164" s="21" t="s">
        <v>2110</v>
      </c>
      <c r="N164" s="21" t="s">
        <v>1859</v>
      </c>
      <c r="O164" s="21">
        <f>COUNTIF(COUNTRIES[COUNTRY_LABEL],COUNTRIES[[#This Row],[COUNTRY_LABEL]])</f>
        <v>1</v>
      </c>
    </row>
    <row r="165" spans="13:15">
      <c r="M165" s="21" t="s">
        <v>2069</v>
      </c>
      <c r="N165" s="21" t="s">
        <v>1817</v>
      </c>
      <c r="O165" s="21">
        <f>COUNTIF(COUNTRIES[COUNTRY_LABEL],COUNTRIES[[#This Row],[COUNTRY_LABEL]])</f>
        <v>1</v>
      </c>
    </row>
    <row r="166" spans="13:15">
      <c r="M166" s="21" t="s">
        <v>2092</v>
      </c>
      <c r="N166" s="21" t="s">
        <v>1840</v>
      </c>
      <c r="O166" s="21">
        <f>COUNTIF(COUNTRIES[COUNTRY_LABEL],COUNTRIES[[#This Row],[COUNTRY_LABEL]])</f>
        <v>1</v>
      </c>
    </row>
    <row r="167" spans="13:15">
      <c r="M167" s="21" t="s">
        <v>2097</v>
      </c>
      <c r="N167" s="21" t="s">
        <v>1845</v>
      </c>
      <c r="O167" s="21">
        <f>COUNTIF(COUNTRIES[COUNTRY_LABEL],COUNTRIES[[#This Row],[COUNTRY_LABEL]])</f>
        <v>1</v>
      </c>
    </row>
    <row r="168" spans="13:15">
      <c r="M168" s="21" t="s">
        <v>2114</v>
      </c>
      <c r="N168" s="21" t="s">
        <v>1863</v>
      </c>
      <c r="O168" s="21">
        <f>COUNTIF(COUNTRIES[COUNTRY_LABEL],COUNTRIES[[#This Row],[COUNTRY_LABEL]])</f>
        <v>1</v>
      </c>
    </row>
    <row r="169" spans="13:15">
      <c r="M169" s="21" t="s">
        <v>2119</v>
      </c>
      <c r="N169" s="21" t="s">
        <v>1868</v>
      </c>
      <c r="O169" s="21">
        <f>COUNTIF(COUNTRIES[COUNTRY_LABEL],COUNTRIES[[#This Row],[COUNTRY_LABEL]])</f>
        <v>1</v>
      </c>
    </row>
    <row r="170" spans="13:15">
      <c r="M170" s="21" t="s">
        <v>2125</v>
      </c>
      <c r="N170" s="21" t="s">
        <v>1874</v>
      </c>
      <c r="O170" s="21">
        <f>COUNTIF(COUNTRIES[COUNTRY_LABEL],COUNTRIES[[#This Row],[COUNTRY_LABEL]])</f>
        <v>1</v>
      </c>
    </row>
    <row r="171" spans="13:15">
      <c r="M171" s="21" t="s">
        <v>2132</v>
      </c>
      <c r="N171" s="21" t="s">
        <v>1881</v>
      </c>
      <c r="O171" s="21">
        <f>COUNTIF(COUNTRIES[COUNTRY_LABEL],COUNTRIES[[#This Row],[COUNTRY_LABEL]])</f>
        <v>1</v>
      </c>
    </row>
    <row r="172" spans="13:15">
      <c r="M172" s="21" t="s">
        <v>2130</v>
      </c>
      <c r="N172" s="21" t="s">
        <v>1879</v>
      </c>
      <c r="O172" s="21">
        <f>COUNTIF(COUNTRIES[COUNTRY_LABEL],COUNTRIES[[#This Row],[COUNTRY_LABEL]])</f>
        <v>1</v>
      </c>
    </row>
    <row r="173" spans="13:15">
      <c r="M173" s="21" t="s">
        <v>2120</v>
      </c>
      <c r="N173" s="21" t="s">
        <v>1869</v>
      </c>
      <c r="O173" s="21">
        <f>COUNTIF(COUNTRIES[COUNTRY_LABEL],COUNTRIES[[#This Row],[COUNTRY_LABEL]])</f>
        <v>1</v>
      </c>
    </row>
    <row r="174" spans="13:15">
      <c r="M174" s="21" t="s">
        <v>2123</v>
      </c>
      <c r="N174" s="21" t="s">
        <v>1872</v>
      </c>
      <c r="O174" s="21">
        <f>COUNTIF(COUNTRIES[COUNTRY_LABEL],COUNTRIES[[#This Row],[COUNTRY_LABEL]])</f>
        <v>1</v>
      </c>
    </row>
    <row r="175" spans="13:15">
      <c r="M175" s="21" t="s">
        <v>2133</v>
      </c>
      <c r="N175" s="21" t="s">
        <v>1882</v>
      </c>
      <c r="O175" s="21">
        <f>COUNTIF(COUNTRIES[COUNTRY_LABEL],COUNTRIES[[#This Row],[COUNTRY_LABEL]])</f>
        <v>1</v>
      </c>
    </row>
    <row r="176" spans="13:15">
      <c r="M176" s="21" t="s">
        <v>2121</v>
      </c>
      <c r="N176" s="21" t="s">
        <v>1870</v>
      </c>
      <c r="O176" s="21">
        <f>COUNTIF(COUNTRIES[COUNTRY_LABEL],COUNTRIES[[#This Row],[COUNTRY_LABEL]])</f>
        <v>1</v>
      </c>
    </row>
    <row r="177" spans="13:15">
      <c r="M177" s="21" t="s">
        <v>2124</v>
      </c>
      <c r="N177" s="21" t="s">
        <v>1873</v>
      </c>
      <c r="O177" s="21">
        <f>COUNTIF(COUNTRIES[COUNTRY_LABEL],COUNTRIES[[#This Row],[COUNTRY_LABEL]])</f>
        <v>1</v>
      </c>
    </row>
    <row r="178" spans="13:15">
      <c r="M178" s="21" t="s">
        <v>2128</v>
      </c>
      <c r="N178" s="21" t="s">
        <v>1877</v>
      </c>
      <c r="O178" s="21">
        <f>COUNTIF(COUNTRIES[COUNTRY_LABEL],COUNTRIES[[#This Row],[COUNTRY_LABEL]])</f>
        <v>1</v>
      </c>
    </row>
    <row r="179" spans="13:15">
      <c r="M179" s="21" t="s">
        <v>2126</v>
      </c>
      <c r="N179" s="21" t="s">
        <v>1875</v>
      </c>
      <c r="O179" s="21">
        <f>COUNTIF(COUNTRIES[COUNTRY_LABEL],COUNTRIES[[#This Row],[COUNTRY_LABEL]])</f>
        <v>1</v>
      </c>
    </row>
    <row r="180" spans="13:15">
      <c r="M180" s="21" t="s">
        <v>2131</v>
      </c>
      <c r="N180" s="21" t="s">
        <v>1880</v>
      </c>
      <c r="O180" s="21">
        <f>COUNTIF(COUNTRIES[COUNTRY_LABEL],COUNTRIES[[#This Row],[COUNTRY_LABEL]])</f>
        <v>1</v>
      </c>
    </row>
    <row r="181" spans="13:15">
      <c r="M181" s="21" t="s">
        <v>2129</v>
      </c>
      <c r="N181" s="21" t="s">
        <v>1878</v>
      </c>
      <c r="O181" s="21">
        <f>COUNTIF(COUNTRIES[COUNTRY_LABEL],COUNTRIES[[#This Row],[COUNTRY_LABEL]])</f>
        <v>1</v>
      </c>
    </row>
    <row r="182" spans="13:15">
      <c r="M182" s="21" t="s">
        <v>2134</v>
      </c>
      <c r="N182" s="21" t="s">
        <v>1883</v>
      </c>
      <c r="O182" s="21">
        <f>COUNTIF(COUNTRIES[COUNTRY_LABEL],COUNTRIES[[#This Row],[COUNTRY_LABEL]])</f>
        <v>1</v>
      </c>
    </row>
    <row r="183" spans="13:15">
      <c r="M183" s="21" t="s">
        <v>1990</v>
      </c>
      <c r="N183" s="21" t="s">
        <v>1739</v>
      </c>
      <c r="O183" s="21">
        <f>COUNTIF(COUNTRIES[COUNTRY_LABEL],COUNTRIES[[#This Row],[COUNTRY_LABEL]])</f>
        <v>1</v>
      </c>
    </row>
    <row r="184" spans="13:15">
      <c r="M184" s="21" t="s">
        <v>2135</v>
      </c>
      <c r="N184" s="21" t="s">
        <v>1884</v>
      </c>
      <c r="O184" s="21">
        <f>COUNTIF(COUNTRIES[COUNTRY_LABEL],COUNTRIES[[#This Row],[COUNTRY_LABEL]])</f>
        <v>1</v>
      </c>
    </row>
    <row r="185" spans="13:15">
      <c r="M185" s="21" t="s">
        <v>2136</v>
      </c>
      <c r="N185" s="21" t="s">
        <v>1885</v>
      </c>
      <c r="O185" s="21">
        <f>COUNTIF(COUNTRIES[COUNTRY_LABEL],COUNTRIES[[#This Row],[COUNTRY_LABEL]])</f>
        <v>1</v>
      </c>
    </row>
    <row r="186" spans="13:15">
      <c r="M186" s="21" t="s">
        <v>2138</v>
      </c>
      <c r="N186" s="21" t="s">
        <v>1887</v>
      </c>
      <c r="O186" s="21">
        <f>COUNTIF(COUNTRIES[COUNTRY_LABEL],COUNTRIES[[#This Row],[COUNTRY_LABEL]])</f>
        <v>1</v>
      </c>
    </row>
    <row r="187" spans="13:15">
      <c r="M187" s="21" t="s">
        <v>2139</v>
      </c>
      <c r="N187" s="21" t="s">
        <v>1888</v>
      </c>
      <c r="O187" s="21">
        <f>COUNTIF(COUNTRIES[COUNTRY_LABEL],COUNTRIES[[#This Row],[COUNTRY_LABEL]])</f>
        <v>1</v>
      </c>
    </row>
    <row r="188" spans="13:15">
      <c r="M188" s="21" t="s">
        <v>1974</v>
      </c>
      <c r="N188" s="21" t="s">
        <v>1723</v>
      </c>
      <c r="O188" s="21">
        <f>COUNTIF(COUNTRIES[COUNTRY_LABEL],COUNTRIES[[#This Row],[COUNTRY_LABEL]])</f>
        <v>1</v>
      </c>
    </row>
    <row r="189" spans="13:15">
      <c r="M189" s="21" t="s">
        <v>2146</v>
      </c>
      <c r="N189" s="21" t="s">
        <v>1895</v>
      </c>
      <c r="O189" s="21">
        <f>COUNTIF(COUNTRIES[COUNTRY_LABEL],COUNTRIES[[#This Row],[COUNTRY_LABEL]])</f>
        <v>1</v>
      </c>
    </row>
    <row r="190" spans="13:15">
      <c r="M190" s="21" t="s">
        <v>2068</v>
      </c>
      <c r="N190" s="21" t="s">
        <v>1816</v>
      </c>
      <c r="O190" s="21">
        <f>COUNTIF(COUNTRIES[COUNTRY_LABEL],COUNTRIES[[#This Row],[COUNTRY_LABEL]])</f>
        <v>1</v>
      </c>
    </row>
    <row r="191" spans="13:15">
      <c r="M191" s="21" t="s">
        <v>2076</v>
      </c>
      <c r="N191" s="21" t="s">
        <v>1824</v>
      </c>
      <c r="O191" s="21">
        <f>COUNTIF(COUNTRIES[COUNTRY_LABEL],COUNTRIES[[#This Row],[COUNTRY_LABEL]])</f>
        <v>1</v>
      </c>
    </row>
    <row r="192" spans="13:15">
      <c r="M192" s="21" t="s">
        <v>2089</v>
      </c>
      <c r="N192" s="21" t="s">
        <v>1837</v>
      </c>
      <c r="O192" s="21">
        <f>COUNTIF(COUNTRIES[COUNTRY_LABEL],COUNTRIES[[#This Row],[COUNTRY_LABEL]])</f>
        <v>1</v>
      </c>
    </row>
    <row r="193" spans="13:15">
      <c r="M193" s="21" t="s">
        <v>2127</v>
      </c>
      <c r="N193" s="21" t="s">
        <v>1876</v>
      </c>
      <c r="O193" s="21">
        <f>COUNTIF(COUNTRIES[COUNTRY_LABEL],COUNTRIES[[#This Row],[COUNTRY_LABEL]])</f>
        <v>1</v>
      </c>
    </row>
    <row r="194" spans="13:15">
      <c r="M194" s="21" t="s">
        <v>2184</v>
      </c>
      <c r="N194" s="21" t="s">
        <v>1932</v>
      </c>
      <c r="O194" s="21">
        <f>COUNTIF(COUNTRIES[COUNTRY_LABEL],COUNTRIES[[#This Row],[COUNTRY_LABEL]])</f>
        <v>1</v>
      </c>
    </row>
    <row r="195" spans="13:15">
      <c r="M195" s="21" t="s">
        <v>2191</v>
      </c>
      <c r="N195" s="21" t="s">
        <v>1939</v>
      </c>
      <c r="O195" s="21">
        <f>COUNTIF(COUNTRIES[COUNTRY_LABEL],COUNTRIES[[#This Row],[COUNTRY_LABEL]])</f>
        <v>1</v>
      </c>
    </row>
    <row r="196" spans="13:15">
      <c r="M196" s="21" t="s">
        <v>2151</v>
      </c>
      <c r="N196" s="21" t="s">
        <v>1900</v>
      </c>
      <c r="O196" s="21">
        <f>COUNTIF(COUNTRIES[COUNTRY_LABEL],COUNTRIES[[#This Row],[COUNTRY_LABEL]])</f>
        <v>1</v>
      </c>
    </row>
    <row r="197" spans="13:15">
      <c r="M197" s="21" t="s">
        <v>2156</v>
      </c>
      <c r="N197" s="21" t="s">
        <v>1905</v>
      </c>
      <c r="O197" s="21">
        <f>COUNTIF(COUNTRIES[COUNTRY_LABEL],COUNTRIES[[#This Row],[COUNTRY_LABEL]])</f>
        <v>1</v>
      </c>
    </row>
    <row r="198" spans="13:15">
      <c r="M198" s="21" t="s">
        <v>2140</v>
      </c>
      <c r="N198" s="21" t="s">
        <v>1889</v>
      </c>
      <c r="O198" s="21">
        <f>COUNTIF(COUNTRIES[COUNTRY_LABEL],COUNTRIES[[#This Row],[COUNTRY_LABEL]])</f>
        <v>1</v>
      </c>
    </row>
    <row r="199" spans="13:15">
      <c r="M199" s="21" t="s">
        <v>2152</v>
      </c>
      <c r="N199" s="21" t="s">
        <v>1901</v>
      </c>
      <c r="O199" s="21">
        <f>COUNTIF(COUNTRIES[COUNTRY_LABEL],COUNTRIES[[#This Row],[COUNTRY_LABEL]])</f>
        <v>1</v>
      </c>
    </row>
    <row r="200" spans="13:15">
      <c r="M200" s="21" t="s">
        <v>2137</v>
      </c>
      <c r="N200" s="21" t="s">
        <v>1886</v>
      </c>
      <c r="O200" s="21">
        <f>COUNTIF(COUNTRIES[COUNTRY_LABEL],COUNTRIES[[#This Row],[COUNTRY_LABEL]])</f>
        <v>1</v>
      </c>
    </row>
    <row r="201" spans="13:15">
      <c r="M201" s="21" t="s">
        <v>2142</v>
      </c>
      <c r="N201" s="21" t="s">
        <v>1891</v>
      </c>
      <c r="O201" s="21">
        <f>COUNTIF(COUNTRIES[COUNTRY_LABEL],COUNTRIES[[#This Row],[COUNTRY_LABEL]])</f>
        <v>1</v>
      </c>
    </row>
    <row r="202" spans="13:15">
      <c r="M202" s="21" t="s">
        <v>2150</v>
      </c>
      <c r="N202" s="21" t="s">
        <v>1899</v>
      </c>
      <c r="O202" s="21">
        <f>COUNTIF(COUNTRIES[COUNTRY_LABEL],COUNTRIES[[#This Row],[COUNTRY_LABEL]])</f>
        <v>1</v>
      </c>
    </row>
    <row r="203" spans="13:15">
      <c r="M203" s="21" t="s">
        <v>2145</v>
      </c>
      <c r="N203" s="21" t="s">
        <v>1894</v>
      </c>
      <c r="O203" s="21">
        <f>COUNTIF(COUNTRIES[COUNTRY_LABEL],COUNTRIES[[#This Row],[COUNTRY_LABEL]])</f>
        <v>1</v>
      </c>
    </row>
    <row r="204" spans="13:15">
      <c r="M204" s="21" t="s">
        <v>2158</v>
      </c>
      <c r="N204" s="21" t="s">
        <v>1907</v>
      </c>
      <c r="O204" s="21">
        <f>COUNTIF(COUNTRIES[COUNTRY_LABEL],COUNTRIES[[#This Row],[COUNTRY_LABEL]])</f>
        <v>1</v>
      </c>
    </row>
    <row r="205" spans="13:15">
      <c r="M205" s="21" t="s">
        <v>2149</v>
      </c>
      <c r="N205" s="21" t="s">
        <v>1898</v>
      </c>
      <c r="O205" s="21">
        <f>COUNTIF(COUNTRIES[COUNTRY_LABEL],COUNTRIES[[#This Row],[COUNTRY_LABEL]])</f>
        <v>1</v>
      </c>
    </row>
    <row r="206" spans="13:15">
      <c r="M206" s="21" t="s">
        <v>2147</v>
      </c>
      <c r="N206" s="21" t="s">
        <v>1896</v>
      </c>
      <c r="O206" s="21">
        <f>COUNTIF(COUNTRIES[COUNTRY_LABEL],COUNTRIES[[#This Row],[COUNTRY_LABEL]])</f>
        <v>1</v>
      </c>
    </row>
    <row r="207" spans="13:15">
      <c r="M207" s="21" t="s">
        <v>2141</v>
      </c>
      <c r="N207" s="21" t="s">
        <v>1890</v>
      </c>
      <c r="O207" s="21">
        <f>COUNTIF(COUNTRIES[COUNTRY_LABEL],COUNTRIES[[#This Row],[COUNTRY_LABEL]])</f>
        <v>1</v>
      </c>
    </row>
    <row r="208" spans="13:15">
      <c r="M208" s="21" t="s">
        <v>2153</v>
      </c>
      <c r="N208" s="21" t="s">
        <v>1902</v>
      </c>
      <c r="O208" s="21">
        <f>COUNTIF(COUNTRIES[COUNTRY_LABEL],COUNTRIES[[#This Row],[COUNTRY_LABEL]])</f>
        <v>1</v>
      </c>
    </row>
    <row r="209" spans="13:15">
      <c r="M209" s="21" t="s">
        <v>2194</v>
      </c>
      <c r="N209" s="21" t="s">
        <v>1942</v>
      </c>
      <c r="O209" s="21">
        <f>COUNTIF(COUNTRIES[COUNTRY_LABEL],COUNTRIES[[#This Row],[COUNTRY_LABEL]])</f>
        <v>1</v>
      </c>
    </row>
    <row r="210" spans="13:15">
      <c r="M210" s="21" t="s">
        <v>2038</v>
      </c>
      <c r="N210" s="21" t="s">
        <v>1786</v>
      </c>
      <c r="O210" s="21">
        <f>COUNTIF(COUNTRIES[COUNTRY_LABEL],COUNTRIES[[#This Row],[COUNTRY_LABEL]])</f>
        <v>1</v>
      </c>
    </row>
    <row r="211" spans="13:15">
      <c r="M211" s="21" t="s">
        <v>2070</v>
      </c>
      <c r="N211" s="21" t="s">
        <v>1818</v>
      </c>
      <c r="O211" s="21">
        <f>COUNTIF(COUNTRIES[COUNTRY_LABEL],COUNTRIES[[#This Row],[COUNTRY_LABEL]])</f>
        <v>1</v>
      </c>
    </row>
    <row r="212" spans="13:15">
      <c r="M212" s="21" t="s">
        <v>2155</v>
      </c>
      <c r="N212" s="21" t="s">
        <v>1904</v>
      </c>
      <c r="O212" s="21">
        <f>COUNTIF(COUNTRIES[COUNTRY_LABEL],COUNTRIES[[#This Row],[COUNTRY_LABEL]])</f>
        <v>1</v>
      </c>
    </row>
    <row r="213" spans="13:15">
      <c r="M213" s="21" t="s">
        <v>2016</v>
      </c>
      <c r="N213" s="21" t="s">
        <v>1765</v>
      </c>
      <c r="O213" s="21">
        <f>COUNTIF(COUNTRIES[COUNTRY_LABEL],COUNTRIES[[#This Row],[COUNTRY_LABEL]])</f>
        <v>1</v>
      </c>
    </row>
    <row r="214" spans="13:15">
      <c r="M214" s="21" t="s">
        <v>2078</v>
      </c>
      <c r="N214" s="21" t="s">
        <v>1826</v>
      </c>
      <c r="O214" s="21">
        <f>COUNTIF(COUNTRIES[COUNTRY_LABEL],COUNTRIES[[#This Row],[COUNTRY_LABEL]])</f>
        <v>1</v>
      </c>
    </row>
    <row r="215" spans="13:15">
      <c r="M215" s="21" t="s">
        <v>2143</v>
      </c>
      <c r="N215" s="21" t="s">
        <v>1892</v>
      </c>
      <c r="O215" s="21">
        <f>COUNTIF(COUNTRIES[COUNTRY_LABEL],COUNTRIES[[#This Row],[COUNTRY_LABEL]])</f>
        <v>1</v>
      </c>
    </row>
    <row r="216" spans="13:15">
      <c r="M216" s="21" t="s">
        <v>2154</v>
      </c>
      <c r="N216" s="21" t="s">
        <v>1903</v>
      </c>
      <c r="O216" s="21">
        <f>COUNTIF(COUNTRIES[COUNTRY_LABEL],COUNTRIES[[#This Row],[COUNTRY_LABEL]])</f>
        <v>1</v>
      </c>
    </row>
    <row r="217" spans="13:15">
      <c r="M217" s="21" t="s">
        <v>2148</v>
      </c>
      <c r="N217" s="21" t="s">
        <v>1897</v>
      </c>
      <c r="O217" s="21">
        <f>COUNTIF(COUNTRIES[COUNTRY_LABEL],COUNTRIES[[#This Row],[COUNTRY_LABEL]])</f>
        <v>1</v>
      </c>
    </row>
    <row r="218" spans="13:15">
      <c r="M218" s="21" t="s">
        <v>2144</v>
      </c>
      <c r="N218" s="21" t="s">
        <v>1893</v>
      </c>
      <c r="O218" s="21">
        <f>COUNTIF(COUNTRIES[COUNTRY_LABEL],COUNTRIES[[#This Row],[COUNTRY_LABEL]])</f>
        <v>1</v>
      </c>
    </row>
    <row r="219" spans="13:15">
      <c r="M219" s="21" t="s">
        <v>1991</v>
      </c>
      <c r="N219" s="21" t="s">
        <v>1740</v>
      </c>
      <c r="O219" s="21">
        <f>COUNTIF(COUNTRIES[COUNTRY_LABEL],COUNTRIES[[#This Row],[COUNTRY_LABEL]])</f>
        <v>1</v>
      </c>
    </row>
    <row r="220" spans="13:15">
      <c r="M220" s="21" t="s">
        <v>2159</v>
      </c>
      <c r="N220" s="21" t="s">
        <v>1908</v>
      </c>
      <c r="O220" s="21">
        <f>COUNTIF(COUNTRIES[COUNTRY_LABEL],COUNTRIES[[#This Row],[COUNTRY_LABEL]])</f>
        <v>1</v>
      </c>
    </row>
    <row r="221" spans="13:15">
      <c r="M221" s="21" t="s">
        <v>2175</v>
      </c>
      <c r="N221" s="21" t="s">
        <v>1923</v>
      </c>
      <c r="O221" s="21">
        <f>COUNTIF(COUNTRIES[COUNTRY_LABEL],COUNTRIES[[#This Row],[COUNTRY_LABEL]])</f>
        <v>1</v>
      </c>
    </row>
    <row r="222" spans="13:15">
      <c r="M222" s="21" t="s">
        <v>2166</v>
      </c>
      <c r="N222" s="21" t="s">
        <v>1915</v>
      </c>
      <c r="O222" s="21">
        <f>COUNTIF(COUNTRIES[COUNTRY_LABEL],COUNTRIES[[#This Row],[COUNTRY_LABEL]])</f>
        <v>1</v>
      </c>
    </row>
    <row r="223" spans="13:15">
      <c r="M223" s="21" t="s">
        <v>2176</v>
      </c>
      <c r="N223" s="21" t="s">
        <v>1924</v>
      </c>
      <c r="O223" s="21">
        <f>COUNTIF(COUNTRIES[COUNTRY_LABEL],COUNTRIES[[#This Row],[COUNTRY_LABEL]])</f>
        <v>1</v>
      </c>
    </row>
    <row r="224" spans="13:15">
      <c r="M224" s="21" t="s">
        <v>2165</v>
      </c>
      <c r="N224" s="21" t="s">
        <v>1914</v>
      </c>
      <c r="O224" s="21">
        <f>COUNTIF(COUNTRIES[COUNTRY_LABEL],COUNTRIES[[#This Row],[COUNTRY_LABEL]])</f>
        <v>1</v>
      </c>
    </row>
    <row r="225" spans="13:15">
      <c r="M225" s="21" t="s">
        <v>2168</v>
      </c>
      <c r="N225" s="21" t="s">
        <v>1917</v>
      </c>
      <c r="O225" s="21">
        <f>COUNTIF(COUNTRIES[COUNTRY_LABEL],COUNTRIES[[#This Row],[COUNTRY_LABEL]])</f>
        <v>1</v>
      </c>
    </row>
    <row r="226" spans="13:15">
      <c r="M226" s="21" t="s">
        <v>2164</v>
      </c>
      <c r="N226" s="21" t="s">
        <v>1913</v>
      </c>
      <c r="O226" s="21">
        <f>COUNTIF(COUNTRIES[COUNTRY_LABEL],COUNTRIES[[#This Row],[COUNTRY_LABEL]])</f>
        <v>1</v>
      </c>
    </row>
    <row r="227" spans="13:15">
      <c r="M227" s="21" t="s">
        <v>2167</v>
      </c>
      <c r="N227" s="21" t="s">
        <v>1916</v>
      </c>
      <c r="O227" s="21">
        <f>COUNTIF(COUNTRIES[COUNTRY_LABEL],COUNTRIES[[#This Row],[COUNTRY_LABEL]])</f>
        <v>1</v>
      </c>
    </row>
    <row r="228" spans="13:15">
      <c r="M228" s="21" t="s">
        <v>2171</v>
      </c>
      <c r="N228" s="21" t="s">
        <v>1920</v>
      </c>
      <c r="O228" s="21">
        <f>COUNTIF(COUNTRIES[COUNTRY_LABEL],COUNTRIES[[#This Row],[COUNTRY_LABEL]])</f>
        <v>1</v>
      </c>
    </row>
    <row r="229" spans="13:15">
      <c r="M229" s="21" t="s">
        <v>2173</v>
      </c>
      <c r="N229" s="21" t="s">
        <v>1921</v>
      </c>
      <c r="O229" s="21">
        <f>COUNTIF(COUNTRIES[COUNTRY_LABEL],COUNTRIES[[#This Row],[COUNTRY_LABEL]])</f>
        <v>1</v>
      </c>
    </row>
    <row r="230" spans="13:15">
      <c r="M230" s="21" t="s">
        <v>2170</v>
      </c>
      <c r="N230" s="21" t="s">
        <v>1919</v>
      </c>
      <c r="O230" s="21">
        <f>COUNTIF(COUNTRIES[COUNTRY_LABEL],COUNTRIES[[#This Row],[COUNTRY_LABEL]])</f>
        <v>1</v>
      </c>
    </row>
    <row r="231" spans="13:15">
      <c r="M231" s="21" t="s">
        <v>2172</v>
      </c>
      <c r="N231" s="21" t="s">
        <v>2199</v>
      </c>
      <c r="O231" s="21">
        <f>COUNTIF(COUNTRIES[COUNTRY_LABEL],COUNTRIES[[#This Row],[COUNTRY_LABEL]])</f>
        <v>1</v>
      </c>
    </row>
    <row r="232" spans="13:15">
      <c r="M232" s="21" t="s">
        <v>2169</v>
      </c>
      <c r="N232" s="21" t="s">
        <v>1918</v>
      </c>
      <c r="O232" s="21">
        <f>COUNTIF(COUNTRIES[COUNTRY_LABEL],COUNTRIES[[#This Row],[COUNTRY_LABEL]])</f>
        <v>1</v>
      </c>
    </row>
    <row r="233" spans="13:15">
      <c r="M233" s="21" t="s">
        <v>2161</v>
      </c>
      <c r="N233" s="21" t="s">
        <v>1910</v>
      </c>
      <c r="O233" s="21">
        <f>COUNTIF(COUNTRIES[COUNTRY_LABEL],COUNTRIES[[#This Row],[COUNTRY_LABEL]])</f>
        <v>1</v>
      </c>
    </row>
    <row r="234" spans="13:15">
      <c r="M234" s="21" t="s">
        <v>2174</v>
      </c>
      <c r="N234" s="21" t="s">
        <v>1922</v>
      </c>
      <c r="O234" s="21">
        <f>COUNTIF(COUNTRIES[COUNTRY_LABEL],COUNTRIES[[#This Row],[COUNTRY_LABEL]])</f>
        <v>1</v>
      </c>
    </row>
    <row r="235" spans="13:15">
      <c r="M235" s="21" t="s">
        <v>2178</v>
      </c>
      <c r="N235" s="21" t="s">
        <v>1926</v>
      </c>
      <c r="O235" s="21">
        <f>COUNTIF(COUNTRIES[COUNTRY_LABEL],COUNTRIES[[#This Row],[COUNTRY_LABEL]])</f>
        <v>1</v>
      </c>
    </row>
    <row r="236" spans="13:15">
      <c r="M236" s="21" t="s">
        <v>2177</v>
      </c>
      <c r="N236" s="21" t="s">
        <v>1925</v>
      </c>
      <c r="O236" s="21">
        <f>COUNTIF(COUNTRIES[COUNTRY_LABEL],COUNTRIES[[#This Row],[COUNTRY_LABEL]])</f>
        <v>1</v>
      </c>
    </row>
    <row r="237" spans="13:15">
      <c r="M237" s="21" t="s">
        <v>1950</v>
      </c>
      <c r="N237" s="21" t="s">
        <v>1699</v>
      </c>
      <c r="O237" s="21">
        <f>COUNTIF(COUNTRIES[COUNTRY_LABEL],COUNTRIES[[#This Row],[COUNTRY_LABEL]])</f>
        <v>1</v>
      </c>
    </row>
    <row r="238" spans="13:15">
      <c r="M238" s="21" t="s">
        <v>2025</v>
      </c>
      <c r="N238" s="21" t="s">
        <v>1773</v>
      </c>
      <c r="O238" s="21">
        <f>COUNTIF(COUNTRIES[COUNTRY_LABEL],COUNTRIES[[#This Row],[COUNTRY_LABEL]])</f>
        <v>1</v>
      </c>
    </row>
    <row r="239" spans="13:15">
      <c r="M239" s="21" t="s">
        <v>2180</v>
      </c>
      <c r="N239" s="21" t="s">
        <v>1928</v>
      </c>
      <c r="O239" s="21">
        <f>COUNTIF(COUNTRIES[COUNTRY_LABEL],COUNTRIES[[#This Row],[COUNTRY_LABEL]])</f>
        <v>1</v>
      </c>
    </row>
    <row r="240" spans="13:15">
      <c r="M240" s="21" t="s">
        <v>2179</v>
      </c>
      <c r="N240" s="21" t="s">
        <v>1927</v>
      </c>
      <c r="O240" s="21">
        <f>COUNTIF(COUNTRIES[COUNTRY_LABEL],COUNTRIES[[#This Row],[COUNTRY_LABEL]])</f>
        <v>1</v>
      </c>
    </row>
    <row r="241" spans="13:15">
      <c r="M241" s="21" t="s">
        <v>2181</v>
      </c>
      <c r="N241" s="21" t="s">
        <v>1929</v>
      </c>
      <c r="O241" s="21">
        <f>COUNTIF(COUNTRIES[COUNTRY_LABEL],COUNTRIES[[#This Row],[COUNTRY_LABEL]])</f>
        <v>1</v>
      </c>
    </row>
    <row r="242" spans="13:15">
      <c r="M242" s="21" t="s">
        <v>2211</v>
      </c>
      <c r="N242" s="21" t="s">
        <v>1947</v>
      </c>
      <c r="O242" s="21">
        <f>COUNTIF(COUNTRIES[COUNTRY_LABEL],COUNTRIES[[#This Row],[COUNTRY_LABEL]])</f>
        <v>1</v>
      </c>
    </row>
    <row r="243" spans="13:15">
      <c r="M243" s="21" t="s">
        <v>2182</v>
      </c>
      <c r="N243" s="21" t="s">
        <v>1930</v>
      </c>
      <c r="O243" s="21">
        <f>COUNTIF(COUNTRIES[COUNTRY_LABEL],COUNTRIES[[#This Row],[COUNTRY_LABEL]])</f>
        <v>1</v>
      </c>
    </row>
    <row r="244" spans="13:15">
      <c r="M244" s="21" t="s">
        <v>2189</v>
      </c>
      <c r="N244" s="21" t="s">
        <v>1937</v>
      </c>
      <c r="O244" s="21">
        <f>COUNTIF(COUNTRIES[COUNTRY_LABEL],COUNTRIES[[#This Row],[COUNTRY_LABEL]])</f>
        <v>1</v>
      </c>
    </row>
    <row r="245" spans="13:15">
      <c r="M245" s="21" t="s">
        <v>2185</v>
      </c>
      <c r="N245" s="21" t="s">
        <v>1933</v>
      </c>
      <c r="O245" s="21">
        <f>COUNTIF(COUNTRIES[COUNTRY_LABEL],COUNTRIES[[#This Row],[COUNTRY_LABEL]])</f>
        <v>1</v>
      </c>
    </row>
    <row r="246" spans="13:15">
      <c r="M246" s="21" t="s">
        <v>2188</v>
      </c>
      <c r="N246" s="21" t="s">
        <v>1936</v>
      </c>
      <c r="O246" s="21">
        <f>COUNTIF(COUNTRIES[COUNTRY_LABEL],COUNTRIES[[#This Row],[COUNTRY_LABEL]])</f>
        <v>1</v>
      </c>
    </row>
    <row r="247" spans="13:15">
      <c r="M247" s="21" t="s">
        <v>2186</v>
      </c>
      <c r="N247" s="21" t="s">
        <v>1934</v>
      </c>
      <c r="O247" s="21">
        <f>COUNTIF(COUNTRIES[COUNTRY_LABEL],COUNTRIES[[#This Row],[COUNTRY_LABEL]])</f>
        <v>1</v>
      </c>
    </row>
    <row r="248" spans="13:15">
      <c r="M248" s="21" t="s">
        <v>2187</v>
      </c>
      <c r="N248" s="21" t="s">
        <v>1935</v>
      </c>
      <c r="O248" s="21">
        <f>COUNTIF(COUNTRIES[COUNTRY_LABEL],COUNTRIES[[#This Row],[COUNTRY_LABEL]])</f>
        <v>1</v>
      </c>
    </row>
    <row r="249" spans="13:15">
      <c r="M249" s="21" t="s">
        <v>2190</v>
      </c>
      <c r="N249" s="21" t="s">
        <v>1938</v>
      </c>
      <c r="O249" s="21">
        <f>COUNTIF(COUNTRIES[COUNTRY_LABEL],COUNTRIES[[#This Row],[COUNTRY_LABEL]])</f>
        <v>1</v>
      </c>
    </row>
    <row r="250" spans="13:15">
      <c r="M250" s="21" t="s">
        <v>2014</v>
      </c>
      <c r="N250" s="21" t="s">
        <v>1763</v>
      </c>
      <c r="O250" s="21">
        <f>COUNTIF(COUNTRIES[COUNTRY_LABEL],COUNTRIES[[#This Row],[COUNTRY_LABEL]])</f>
        <v>1</v>
      </c>
    </row>
    <row r="251" spans="13:15">
      <c r="M251" s="21" t="s">
        <v>2192</v>
      </c>
      <c r="N251" s="21" t="s">
        <v>1940</v>
      </c>
      <c r="O251" s="21">
        <f>COUNTIF(COUNTRIES[COUNTRY_LABEL],COUNTRIES[[#This Row],[COUNTRY_LABEL]])</f>
        <v>1</v>
      </c>
    </row>
    <row r="252" spans="13:15">
      <c r="M252" s="21" t="s">
        <v>2210</v>
      </c>
      <c r="N252" s="21" t="s">
        <v>1948</v>
      </c>
      <c r="O252" s="21">
        <f>COUNTIF(COUNTRIES[COUNTRY_LABEL],COUNTRIES[[#This Row],[COUNTRY_LABEL]])</f>
        <v>1</v>
      </c>
    </row>
    <row r="253" spans="13:15">
      <c r="M253" s="21" t="s">
        <v>2195</v>
      </c>
      <c r="N253" s="21" t="s">
        <v>1943</v>
      </c>
      <c r="O253" s="21">
        <f>COUNTIF(COUNTRIES[COUNTRY_LABEL],COUNTRIES[[#This Row],[COUNTRY_LABEL]])</f>
        <v>1</v>
      </c>
    </row>
    <row r="254" spans="13:15">
      <c r="M254" s="21" t="s">
        <v>2196</v>
      </c>
      <c r="N254" s="21" t="s">
        <v>1944</v>
      </c>
      <c r="O254" s="21">
        <f>COUNTIF(COUNTRIES[COUNTRY_LABEL],COUNTRIES[[#This Row],[COUNTRY_LABEL]])</f>
        <v>1</v>
      </c>
    </row>
    <row r="255" spans="13:15">
      <c r="M255" s="21" t="s">
        <v>2214</v>
      </c>
      <c r="N255" s="21" t="s">
        <v>2200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20">
    <sortCondition ref="A2:A20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69140625" style="8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8" t="s">
        <v>895</v>
      </c>
      <c r="D1" s="8" t="s">
        <v>896</v>
      </c>
      <c r="E1" s="8" t="s">
        <v>3247</v>
      </c>
    </row>
    <row r="2" spans="1:5">
      <c r="A2" t="s">
        <v>925</v>
      </c>
      <c r="B2" t="s">
        <v>926</v>
      </c>
      <c r="C2" s="8">
        <v>15500</v>
      </c>
      <c r="D2" s="8">
        <v>15999</v>
      </c>
      <c r="E2" t="s">
        <v>910</v>
      </c>
    </row>
    <row r="3" spans="1:5">
      <c r="A3" t="s">
        <v>2735</v>
      </c>
      <c r="B3" t="s">
        <v>2736</v>
      </c>
      <c r="C3" s="8">
        <v>19000</v>
      </c>
      <c r="D3" s="8">
        <v>19499</v>
      </c>
      <c r="E3" t="s">
        <v>912</v>
      </c>
    </row>
    <row r="4" spans="1:5">
      <c r="A4" t="s">
        <v>916</v>
      </c>
      <c r="B4" t="s">
        <v>917</v>
      </c>
      <c r="C4" s="8">
        <v>11000</v>
      </c>
      <c r="D4" s="8">
        <v>11999</v>
      </c>
      <c r="E4" t="s">
        <v>981</v>
      </c>
    </row>
    <row r="5" spans="1:5">
      <c r="A5" t="s">
        <v>3472</v>
      </c>
      <c r="B5" t="s">
        <v>3473</v>
      </c>
      <c r="C5" s="8">
        <v>19500</v>
      </c>
      <c r="D5" s="8">
        <v>19999</v>
      </c>
      <c r="E5" t="s">
        <v>981</v>
      </c>
    </row>
    <row r="6" spans="1:5">
      <c r="A6" t="s">
        <v>905</v>
      </c>
      <c r="B6" t="s">
        <v>906</v>
      </c>
      <c r="C6" s="8">
        <v>5000</v>
      </c>
      <c r="D6" s="8">
        <v>5999</v>
      </c>
      <c r="E6" t="s">
        <v>1009</v>
      </c>
    </row>
    <row r="7" spans="1:5">
      <c r="A7" t="s">
        <v>909</v>
      </c>
      <c r="B7" t="s">
        <v>910</v>
      </c>
      <c r="C7" s="8">
        <v>7000</v>
      </c>
      <c r="D7" s="8">
        <v>7999</v>
      </c>
      <c r="E7" t="s">
        <v>910</v>
      </c>
    </row>
    <row r="8" spans="1:5">
      <c r="A8" t="s">
        <v>907</v>
      </c>
      <c r="B8" t="s">
        <v>908</v>
      </c>
      <c r="C8" s="8">
        <v>6000</v>
      </c>
      <c r="D8" s="8">
        <v>6999</v>
      </c>
      <c r="E8" t="s">
        <v>1010</v>
      </c>
    </row>
    <row r="9" spans="1:5">
      <c r="A9" t="s">
        <v>911</v>
      </c>
      <c r="B9" t="s">
        <v>912</v>
      </c>
      <c r="C9" s="8">
        <v>8000</v>
      </c>
      <c r="D9" s="8">
        <v>8999</v>
      </c>
      <c r="E9" t="s">
        <v>912</v>
      </c>
    </row>
    <row r="10" spans="1:5">
      <c r="A10" t="s">
        <v>2996</v>
      </c>
      <c r="B10" t="s">
        <v>2997</v>
      </c>
      <c r="C10" s="8">
        <v>15000</v>
      </c>
      <c r="D10" s="8">
        <v>15499</v>
      </c>
      <c r="E10" t="s">
        <v>2995</v>
      </c>
    </row>
    <row r="11" spans="1:5">
      <c r="A11" t="s">
        <v>3315</v>
      </c>
      <c r="B11" t="s">
        <v>915</v>
      </c>
      <c r="C11" s="8">
        <v>10000</v>
      </c>
      <c r="D11" s="8">
        <v>10499</v>
      </c>
      <c r="E11" t="s">
        <v>3314</v>
      </c>
    </row>
    <row r="12" spans="1:5">
      <c r="A12" t="s">
        <v>913</v>
      </c>
      <c r="B12" t="s">
        <v>914</v>
      </c>
      <c r="C12" s="8">
        <v>9000</v>
      </c>
      <c r="D12" s="8">
        <v>9999</v>
      </c>
      <c r="E12" t="s">
        <v>321</v>
      </c>
    </row>
    <row r="13" spans="1:5">
      <c r="A13" t="s">
        <v>900</v>
      </c>
      <c r="B13" t="s">
        <v>899</v>
      </c>
      <c r="C13" s="8">
        <v>2000</v>
      </c>
      <c r="D13" s="8">
        <v>2499</v>
      </c>
      <c r="E13" t="s">
        <v>985</v>
      </c>
    </row>
    <row r="14" spans="1:5">
      <c r="A14" t="s">
        <v>3284</v>
      </c>
      <c r="B14" t="s">
        <v>902</v>
      </c>
      <c r="C14" s="8">
        <v>3000</v>
      </c>
      <c r="D14" s="8">
        <v>3499</v>
      </c>
      <c r="E14" t="s">
        <v>986</v>
      </c>
    </row>
    <row r="15" spans="1:5">
      <c r="A15" t="s">
        <v>927</v>
      </c>
      <c r="B15" t="s">
        <v>928</v>
      </c>
      <c r="C15" s="8">
        <v>16000</v>
      </c>
      <c r="D15" s="8">
        <v>16499</v>
      </c>
      <c r="E15" t="s">
        <v>988</v>
      </c>
    </row>
    <row r="16" spans="1:5">
      <c r="A16" t="s">
        <v>897</v>
      </c>
      <c r="B16" t="s">
        <v>898</v>
      </c>
      <c r="C16" s="8">
        <v>1000</v>
      </c>
      <c r="D16" s="8">
        <v>1499</v>
      </c>
      <c r="E16" t="s">
        <v>984</v>
      </c>
    </row>
    <row r="17" spans="1:5">
      <c r="A17" t="s">
        <v>923</v>
      </c>
      <c r="B17" t="s">
        <v>922</v>
      </c>
      <c r="C17" s="8">
        <v>14000</v>
      </c>
      <c r="D17" s="8">
        <v>14499</v>
      </c>
      <c r="E17" t="s">
        <v>987</v>
      </c>
    </row>
    <row r="18" spans="1:5">
      <c r="A18" t="s">
        <v>903</v>
      </c>
      <c r="B18" t="s">
        <v>904</v>
      </c>
      <c r="C18" s="8">
        <v>4000</v>
      </c>
      <c r="D18" s="8">
        <v>4999</v>
      </c>
      <c r="E18" t="s">
        <v>1008</v>
      </c>
    </row>
    <row r="19" spans="1:5">
      <c r="A19" t="s">
        <v>931</v>
      </c>
      <c r="B19" t="s">
        <v>935</v>
      </c>
      <c r="C19" s="8">
        <v>13004</v>
      </c>
      <c r="D19" s="8">
        <v>13005</v>
      </c>
      <c r="E19" t="s">
        <v>3314</v>
      </c>
    </row>
    <row r="20" spans="1:5">
      <c r="A20" t="s">
        <v>930</v>
      </c>
      <c r="B20" t="s">
        <v>934</v>
      </c>
      <c r="C20" s="8">
        <v>13002</v>
      </c>
      <c r="D20" s="8">
        <v>13003</v>
      </c>
      <c r="E20" t="s">
        <v>321</v>
      </c>
    </row>
    <row r="21" spans="1:5">
      <c r="A21" t="s">
        <v>929</v>
      </c>
      <c r="B21" t="s">
        <v>933</v>
      </c>
      <c r="C21" s="8">
        <v>13000</v>
      </c>
      <c r="D21" s="8">
        <v>13001</v>
      </c>
      <c r="E21" t="s">
        <v>910</v>
      </c>
    </row>
    <row r="22" spans="1:5">
      <c r="A22" t="s">
        <v>932</v>
      </c>
      <c r="B22" t="s">
        <v>936</v>
      </c>
      <c r="C22" s="8">
        <v>13006</v>
      </c>
      <c r="D22" s="8">
        <v>13007</v>
      </c>
      <c r="E22" t="s">
        <v>910</v>
      </c>
    </row>
    <row r="23" spans="1:5">
      <c r="A23" t="s">
        <v>918</v>
      </c>
      <c r="B23" t="s">
        <v>919</v>
      </c>
      <c r="C23" s="8">
        <v>12000</v>
      </c>
      <c r="D23" s="8">
        <v>12999</v>
      </c>
      <c r="E23" t="s">
        <v>982</v>
      </c>
    </row>
    <row r="24" spans="1:5">
      <c r="A24" t="s">
        <v>920</v>
      </c>
      <c r="B24" t="s">
        <v>921</v>
      </c>
      <c r="C24" s="8">
        <v>18000</v>
      </c>
      <c r="D24" s="8">
        <v>18999</v>
      </c>
      <c r="E24" t="s">
        <v>982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983</v>
      </c>
      <c r="B1" s="12" t="s">
        <v>968</v>
      </c>
      <c r="C1" s="12" t="s">
        <v>969</v>
      </c>
      <c r="D1" s="12" t="s">
        <v>970</v>
      </c>
      <c r="E1" s="12" t="s">
        <v>971</v>
      </c>
      <c r="F1" s="12" t="s">
        <v>972</v>
      </c>
      <c r="G1" s="12" t="s">
        <v>973</v>
      </c>
      <c r="H1" s="12" t="s">
        <v>974</v>
      </c>
      <c r="I1" s="12" t="s">
        <v>975</v>
      </c>
      <c r="J1" s="12" t="s">
        <v>976</v>
      </c>
      <c r="K1" s="12" t="s">
        <v>977</v>
      </c>
      <c r="L1" s="12" t="s">
        <v>978</v>
      </c>
      <c r="M1" s="12" t="s">
        <v>979</v>
      </c>
      <c r="N1" s="12" t="s">
        <v>980</v>
      </c>
    </row>
    <row r="2" spans="1:14">
      <c r="A2" s="12" t="s">
        <v>1008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1010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910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912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3314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981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982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2995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989</v>
      </c>
    </row>
    <row r="25" spans="1:1">
      <c r="A25" s="16" t="s">
        <v>990</v>
      </c>
    </row>
    <row r="27" spans="1:1">
      <c r="A27" s="16" t="s">
        <v>991</v>
      </c>
    </row>
    <row r="29" spans="1:1">
      <c r="A29" s="16" t="s">
        <v>992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69140625" bestFit="1" customWidth="1"/>
    <col min="2" max="2" width="8.4609375" bestFit="1" customWidth="1"/>
    <col min="3" max="3" width="16.4609375" bestFit="1" customWidth="1"/>
  </cols>
  <sheetData>
    <row r="1" spans="1:3">
      <c r="A1" t="s">
        <v>993</v>
      </c>
      <c r="B1" t="s">
        <v>11</v>
      </c>
      <c r="C1" t="s">
        <v>994</v>
      </c>
    </row>
    <row r="2" spans="1:3">
      <c r="A2" t="s">
        <v>1005</v>
      </c>
      <c r="B2">
        <v>20</v>
      </c>
      <c r="C2" t="s">
        <v>999</v>
      </c>
    </row>
    <row r="3" spans="1:3">
      <c r="A3" t="s">
        <v>1003</v>
      </c>
      <c r="B3">
        <v>40</v>
      </c>
      <c r="C3" t="s">
        <v>997</v>
      </c>
    </row>
    <row r="4" spans="1:3">
      <c r="A4" t="s">
        <v>1002</v>
      </c>
      <c r="B4">
        <v>16</v>
      </c>
      <c r="C4" t="s">
        <v>996</v>
      </c>
    </row>
    <row r="5" spans="1:3">
      <c r="A5" t="s">
        <v>1006</v>
      </c>
      <c r="B5">
        <v>15</v>
      </c>
      <c r="C5" t="s">
        <v>1000</v>
      </c>
    </row>
    <row r="6" spans="1:3">
      <c r="A6" t="s">
        <v>1004</v>
      </c>
      <c r="B6">
        <v>120</v>
      </c>
      <c r="C6" t="s">
        <v>998</v>
      </c>
    </row>
    <row r="7" spans="1:3">
      <c r="A7" t="s">
        <v>1001</v>
      </c>
      <c r="B7">
        <v>0</v>
      </c>
      <c r="C7" t="s">
        <v>995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2026-06-03T21:10:12Z</dcterms:modified>
</cp:coreProperties>
</file>